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3\Бюджет 2023\"/>
    </mc:Choice>
  </mc:AlternateContent>
  <bookViews>
    <workbookView xWindow="12855" yWindow="-165" windowWidth="16170" windowHeight="12780" activeTab="1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3-2025" sheetId="39" r:id="rId4"/>
    <sheet name="№ 1 производ. продукции" sheetId="40" r:id="rId5"/>
    <sheet name="№ 2 Хлеб и Молочка" sheetId="41" r:id="rId6"/>
    <sheet name="№ 3 Олени" sheetId="42" r:id="rId7"/>
    <sheet name="№ 4 строительство" sheetId="43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7">'№ 4 строительство'!$A$1:$F$102</definedName>
    <definedName name="_xlnm.Print_Area" localSheetId="1">'ДОХОДЫ РАСХОДЫ ИСТОЧНИКИ'!$C$1:$F$92</definedName>
    <definedName name="_xlnm.Print_Area" localSheetId="3">'Прогноз СЭР 2023-2025'!$A$1:$T$115</definedName>
  </definedNames>
  <calcPr calcId="162913"/>
</workbook>
</file>

<file path=xl/calcChain.xml><?xml version="1.0" encoding="utf-8"?>
<calcChain xmlns="http://schemas.openxmlformats.org/spreadsheetml/2006/main">
  <c r="K13" i="42" l="1"/>
  <c r="J13" i="42"/>
  <c r="I13" i="42"/>
  <c r="H13" i="42"/>
  <c r="G13" i="42"/>
  <c r="F13" i="42"/>
  <c r="E13" i="42"/>
  <c r="D13" i="42"/>
  <c r="C13" i="42"/>
  <c r="B13" i="42"/>
  <c r="E11" i="41"/>
  <c r="D11" i="41"/>
  <c r="C11" i="41"/>
  <c r="H14" i="40"/>
  <c r="G14" i="40"/>
  <c r="F14" i="40"/>
  <c r="E14" i="40"/>
  <c r="D14" i="40"/>
  <c r="H10" i="40"/>
  <c r="G10" i="40"/>
  <c r="F10" i="40"/>
  <c r="E10" i="40"/>
  <c r="D10" i="40"/>
  <c r="C115" i="39"/>
  <c r="P114" i="39"/>
  <c r="O114" i="39"/>
  <c r="E112" i="39"/>
  <c r="C112" i="39"/>
  <c r="I111" i="39"/>
  <c r="H111" i="39"/>
  <c r="D111" i="39"/>
  <c r="C111" i="39"/>
  <c r="H110" i="39"/>
  <c r="G110" i="39"/>
  <c r="F110" i="39"/>
  <c r="E110" i="39"/>
  <c r="C110" i="39"/>
  <c r="H109" i="39"/>
  <c r="G109" i="39"/>
  <c r="F109" i="39"/>
  <c r="E109" i="39"/>
  <c r="C109" i="39"/>
  <c r="I108" i="39"/>
  <c r="H108" i="39"/>
  <c r="G108" i="39"/>
  <c r="F108" i="39"/>
  <c r="E108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T101" i="39"/>
  <c r="S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T100" i="39"/>
  <c r="S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T99" i="39"/>
  <c r="S99" i="39"/>
  <c r="R99" i="39"/>
  <c r="Q99" i="39"/>
  <c r="P99" i="39"/>
  <c r="O99" i="39"/>
  <c r="M99" i="39"/>
  <c r="L99" i="39"/>
  <c r="K99" i="39"/>
  <c r="J99" i="39"/>
  <c r="I99" i="39"/>
  <c r="H99" i="39"/>
  <c r="G99" i="39"/>
  <c r="F99" i="39"/>
  <c r="E99" i="39"/>
  <c r="T98" i="39"/>
  <c r="S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T97" i="39"/>
  <c r="S97" i="39"/>
  <c r="R97" i="39"/>
  <c r="Q97" i="39"/>
  <c r="P97" i="39"/>
  <c r="O97" i="39"/>
  <c r="N97" i="39"/>
  <c r="M97" i="39"/>
  <c r="L97" i="39"/>
  <c r="K97" i="39"/>
  <c r="J97" i="39"/>
  <c r="I97" i="39"/>
  <c r="H97" i="39"/>
  <c r="G97" i="39"/>
  <c r="F97" i="39"/>
  <c r="E97" i="39"/>
  <c r="T96" i="39"/>
  <c r="S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T93" i="39"/>
  <c r="S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E93" i="39"/>
  <c r="H91" i="39"/>
  <c r="G91" i="39"/>
  <c r="T90" i="39"/>
  <c r="S90" i="39"/>
  <c r="R90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E90" i="39"/>
  <c r="F85" i="39"/>
  <c r="L84" i="39"/>
  <c r="L83" i="39" s="1"/>
  <c r="L80" i="39" s="1"/>
  <c r="E84" i="39"/>
  <c r="T83" i="39"/>
  <c r="S83" i="39"/>
  <c r="R83" i="39"/>
  <c r="R80" i="39" s="1"/>
  <c r="Q83" i="39"/>
  <c r="Q80" i="39" s="1"/>
  <c r="P83" i="39"/>
  <c r="O83" i="39"/>
  <c r="N83" i="39"/>
  <c r="N80" i="39" s="1"/>
  <c r="M83" i="39"/>
  <c r="M80" i="39" s="1"/>
  <c r="K83" i="39"/>
  <c r="J83" i="39"/>
  <c r="I83" i="39"/>
  <c r="H83" i="39"/>
  <c r="G83" i="39"/>
  <c r="F83" i="39"/>
  <c r="E83" i="39"/>
  <c r="C83" i="39"/>
  <c r="K82" i="39"/>
  <c r="J82" i="39"/>
  <c r="J80" i="39" s="1"/>
  <c r="I82" i="39"/>
  <c r="I80" i="39" s="1"/>
  <c r="H82" i="39"/>
  <c r="G82" i="39"/>
  <c r="F82" i="39"/>
  <c r="F80" i="39" s="1"/>
  <c r="E82" i="39"/>
  <c r="E80" i="39" s="1"/>
  <c r="D82" i="39"/>
  <c r="C82" i="39"/>
  <c r="T80" i="39"/>
  <c r="S80" i="39"/>
  <c r="P80" i="39"/>
  <c r="O80" i="39"/>
  <c r="K80" i="39"/>
  <c r="H80" i="39"/>
  <c r="G80" i="39"/>
  <c r="D80" i="39"/>
  <c r="C80" i="39"/>
  <c r="T69" i="39"/>
  <c r="S69" i="39"/>
  <c r="R69" i="39"/>
  <c r="G69" i="39"/>
  <c r="F69" i="39"/>
  <c r="C69" i="39"/>
  <c r="T68" i="39"/>
  <c r="S68" i="39"/>
  <c r="R68" i="39"/>
  <c r="T67" i="39"/>
  <c r="S67" i="39"/>
  <c r="R67" i="39"/>
  <c r="F67" i="39"/>
  <c r="E67" i="39"/>
  <c r="C67" i="39"/>
  <c r="T66" i="39"/>
  <c r="S66" i="39"/>
  <c r="R66" i="39"/>
  <c r="T65" i="39"/>
  <c r="S65" i="39"/>
  <c r="R65" i="39"/>
  <c r="K65" i="39"/>
  <c r="J65" i="39"/>
  <c r="J62" i="39" s="1"/>
  <c r="I65" i="39"/>
  <c r="I62" i="39" s="1"/>
  <c r="H65" i="39"/>
  <c r="G65" i="39"/>
  <c r="F65" i="39"/>
  <c r="E65" i="39"/>
  <c r="E62" i="39" s="1"/>
  <c r="D65" i="39"/>
  <c r="C65" i="39"/>
  <c r="T64" i="39"/>
  <c r="S64" i="39"/>
  <c r="R64" i="39"/>
  <c r="G64" i="39"/>
  <c r="F64" i="39"/>
  <c r="F62" i="39" s="1"/>
  <c r="C64" i="39"/>
  <c r="T63" i="39"/>
  <c r="S63" i="39"/>
  <c r="R63" i="39"/>
  <c r="G63" i="39"/>
  <c r="F63" i="39"/>
  <c r="E63" i="39"/>
  <c r="C63" i="39"/>
  <c r="K62" i="39"/>
  <c r="H62" i="39"/>
  <c r="G62" i="39"/>
  <c r="D62" i="39"/>
  <c r="C62" i="39"/>
  <c r="I60" i="39"/>
  <c r="L58" i="39"/>
  <c r="T49" i="39"/>
  <c r="S49" i="39"/>
  <c r="R49" i="39"/>
  <c r="Q49" i="39"/>
  <c r="P49" i="39"/>
  <c r="O49" i="39"/>
  <c r="K49" i="39"/>
  <c r="J49" i="39"/>
  <c r="I49" i="39"/>
  <c r="H49" i="39"/>
  <c r="G49" i="39"/>
  <c r="F49" i="39"/>
  <c r="E49" i="39"/>
  <c r="T42" i="39"/>
  <c r="P42" i="39"/>
  <c r="L42" i="39"/>
  <c r="K42" i="39"/>
  <c r="J42" i="39"/>
  <c r="I42" i="39"/>
  <c r="H42" i="39"/>
  <c r="D42" i="39"/>
  <c r="T41" i="39"/>
  <c r="S41" i="39"/>
  <c r="S42" i="39" s="1"/>
  <c r="R41" i="39"/>
  <c r="R42" i="39" s="1"/>
  <c r="Q41" i="39"/>
  <c r="Q42" i="39" s="1"/>
  <c r="P41" i="39"/>
  <c r="O41" i="39"/>
  <c r="O42" i="39" s="1"/>
  <c r="N41" i="39"/>
  <c r="N42" i="39" s="1"/>
  <c r="M41" i="39"/>
  <c r="M42" i="39" s="1"/>
  <c r="L41" i="39"/>
  <c r="G41" i="39"/>
  <c r="G42" i="39" s="1"/>
  <c r="F41" i="39"/>
  <c r="F42" i="39" s="1"/>
  <c r="E41" i="39"/>
  <c r="E42" i="39" s="1"/>
  <c r="C41" i="39"/>
  <c r="T35" i="39"/>
  <c r="S35" i="39"/>
  <c r="R35" i="39"/>
  <c r="N35" i="39"/>
  <c r="M35" i="39"/>
  <c r="L35" i="39"/>
  <c r="K35" i="39"/>
  <c r="J35" i="39"/>
  <c r="I35" i="39"/>
  <c r="G35" i="39"/>
  <c r="T34" i="39"/>
  <c r="S34" i="39"/>
  <c r="R34" i="39"/>
  <c r="Q34" i="39"/>
  <c r="P34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D31" i="39"/>
  <c r="D26" i="39" s="1"/>
  <c r="D27" i="39" s="1"/>
  <c r="C31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G29" i="39"/>
  <c r="H30" i="39" s="1"/>
  <c r="F29" i="39"/>
  <c r="F30" i="39" s="1"/>
  <c r="E29" i="39"/>
  <c r="E30" i="39" s="1"/>
  <c r="D29" i="39"/>
  <c r="D30" i="39" s="1"/>
  <c r="C29" i="39"/>
  <c r="T27" i="39"/>
  <c r="P27" i="39"/>
  <c r="L27" i="39"/>
  <c r="H27" i="39"/>
  <c r="T26" i="39"/>
  <c r="S26" i="39"/>
  <c r="S27" i="39" s="1"/>
  <c r="R26" i="39"/>
  <c r="R27" i="39" s="1"/>
  <c r="Q26" i="39"/>
  <c r="Q27" i="39" s="1"/>
  <c r="P26" i="39"/>
  <c r="O26" i="39"/>
  <c r="O27" i="39" s="1"/>
  <c r="N26" i="39"/>
  <c r="N27" i="39" s="1"/>
  <c r="M26" i="39"/>
  <c r="M27" i="39" s="1"/>
  <c r="L26" i="39"/>
  <c r="K26" i="39"/>
  <c r="K27" i="39" s="1"/>
  <c r="J26" i="39"/>
  <c r="J27" i="39" s="1"/>
  <c r="I26" i="39"/>
  <c r="I27" i="39" s="1"/>
  <c r="H26" i="39"/>
  <c r="G26" i="39"/>
  <c r="E26" i="39"/>
  <c r="E27" i="39" s="1"/>
  <c r="C26" i="39"/>
  <c r="H24" i="39"/>
  <c r="G24" i="39"/>
  <c r="F24" i="39"/>
  <c r="C24" i="39"/>
  <c r="H23" i="39"/>
  <c r="G23" i="39"/>
  <c r="F23" i="39"/>
  <c r="C23" i="39"/>
  <c r="H22" i="39"/>
  <c r="G22" i="39"/>
  <c r="F22" i="39"/>
  <c r="C22" i="39"/>
  <c r="H20" i="39"/>
  <c r="G20" i="39"/>
  <c r="F20" i="39"/>
  <c r="R18" i="39"/>
  <c r="N18" i="39"/>
  <c r="J18" i="39"/>
  <c r="T17" i="39"/>
  <c r="T18" i="39" s="1"/>
  <c r="S17" i="39"/>
  <c r="S18" i="39" s="1"/>
  <c r="R17" i="39"/>
  <c r="Q17" i="39"/>
  <c r="Q18" i="39" s="1"/>
  <c r="P17" i="39"/>
  <c r="P18" i="39" s="1"/>
  <c r="O17" i="39"/>
  <c r="O18" i="39" s="1"/>
  <c r="N17" i="39"/>
  <c r="M17" i="39"/>
  <c r="M18" i="39" s="1"/>
  <c r="L17" i="39"/>
  <c r="L18" i="39" s="1"/>
  <c r="K17" i="39"/>
  <c r="K18" i="39" s="1"/>
  <c r="H17" i="39"/>
  <c r="H18" i="39" s="1"/>
  <c r="G17" i="39"/>
  <c r="I18" i="39" s="1"/>
  <c r="F17" i="39"/>
  <c r="E17" i="39"/>
  <c r="E18" i="39" s="1"/>
  <c r="C17" i="39"/>
  <c r="D18" i="39" s="1"/>
  <c r="R14" i="39"/>
  <c r="N14" i="39"/>
  <c r="J14" i="39"/>
  <c r="F14" i="39"/>
  <c r="T13" i="39"/>
  <c r="T14" i="39" s="1"/>
  <c r="S13" i="39"/>
  <c r="S14" i="39" s="1"/>
  <c r="R13" i="39"/>
  <c r="Q13" i="39"/>
  <c r="Q14" i="39" s="1"/>
  <c r="P13" i="39"/>
  <c r="P14" i="39" s="1"/>
  <c r="O13" i="39"/>
  <c r="O14" i="39" s="1"/>
  <c r="N13" i="39"/>
  <c r="M13" i="39"/>
  <c r="M14" i="39" s="1"/>
  <c r="L13" i="39"/>
  <c r="L14" i="39" s="1"/>
  <c r="K13" i="39"/>
  <c r="K14" i="39" s="1"/>
  <c r="J13" i="39"/>
  <c r="I13" i="39"/>
  <c r="I14" i="39" s="1"/>
  <c r="H13" i="39"/>
  <c r="H14" i="39" s="1"/>
  <c r="G13" i="39"/>
  <c r="G14" i="39" s="1"/>
  <c r="F13" i="39"/>
  <c r="E13" i="39"/>
  <c r="E14" i="39" s="1"/>
  <c r="C13" i="39"/>
  <c r="D14" i="39" s="1"/>
  <c r="T10" i="39"/>
  <c r="S10" i="39"/>
  <c r="R10" i="39"/>
  <c r="Q10" i="39"/>
  <c r="P10" i="39"/>
  <c r="O10" i="39"/>
  <c r="N10" i="39"/>
  <c r="M10" i="39"/>
  <c r="L10" i="39"/>
  <c r="K10" i="39"/>
  <c r="I10" i="39"/>
  <c r="H10" i="39"/>
  <c r="G10" i="39"/>
  <c r="F10" i="39"/>
  <c r="E10" i="39"/>
  <c r="D10" i="39"/>
  <c r="T9" i="39"/>
  <c r="S9" i="39"/>
  <c r="R9" i="39"/>
  <c r="Q9" i="39"/>
  <c r="P9" i="39"/>
  <c r="O9" i="39"/>
  <c r="N9" i="39"/>
  <c r="M9" i="39"/>
  <c r="L9" i="39"/>
  <c r="I9" i="39"/>
  <c r="H9" i="39"/>
  <c r="G9" i="39"/>
  <c r="F9" i="39"/>
  <c r="E9" i="39"/>
  <c r="D9" i="39"/>
  <c r="C9" i="39"/>
  <c r="J8" i="39"/>
  <c r="J10" i="39" s="1"/>
  <c r="C8" i="39"/>
  <c r="C10" i="39" s="1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G27" i="39" l="1"/>
  <c r="K9" i="39"/>
  <c r="G18" i="39"/>
  <c r="F26" i="39"/>
  <c r="F27" i="39" s="1"/>
  <c r="G30" i="39"/>
  <c r="J9" i="39"/>
  <c r="F18" i="39"/>
  <c r="D152" i="38"/>
  <c r="D151" i="38"/>
  <c r="F152" i="38"/>
  <c r="F151" i="38"/>
  <c r="C49" i="6" l="1"/>
  <c r="C46" i="6"/>
  <c r="C44" i="6"/>
  <c r="C41" i="6"/>
  <c r="C33" i="6" s="1"/>
  <c r="C38" i="6"/>
  <c r="C34" i="6"/>
  <c r="C31" i="6"/>
  <c r="C28" i="6"/>
  <c r="C24" i="6"/>
  <c r="C19" i="6"/>
  <c r="C16" i="6"/>
  <c r="C13" i="6"/>
  <c r="C10" i="6"/>
  <c r="C7" i="6"/>
  <c r="F150" i="38"/>
  <c r="D150" i="38"/>
  <c r="F147" i="38"/>
  <c r="E147" i="38"/>
  <c r="D147" i="38"/>
  <c r="F139" i="38"/>
  <c r="E139" i="38"/>
  <c r="D139" i="38"/>
  <c r="F136" i="38"/>
  <c r="E136" i="38"/>
  <c r="D136" i="38"/>
  <c r="F131" i="38"/>
  <c r="E131" i="38"/>
  <c r="D131" i="38"/>
  <c r="F129" i="38"/>
  <c r="E129" i="38"/>
  <c r="D129" i="38"/>
  <c r="D127" i="38" s="1"/>
  <c r="F127" i="38"/>
  <c r="E127" i="38"/>
  <c r="F121" i="38"/>
  <c r="E121" i="38"/>
  <c r="D121" i="38"/>
  <c r="F116" i="38"/>
  <c r="E116" i="38"/>
  <c r="D116" i="38"/>
  <c r="F112" i="38"/>
  <c r="E112" i="38"/>
  <c r="D112" i="38"/>
  <c r="F106" i="38"/>
  <c r="E106" i="38"/>
  <c r="D106" i="38"/>
  <c r="F97" i="38"/>
  <c r="E97" i="38"/>
  <c r="D97" i="38"/>
  <c r="F84" i="38"/>
  <c r="F79" i="38" s="1"/>
  <c r="E84" i="38"/>
  <c r="E79" i="38" s="1"/>
  <c r="D84" i="38"/>
  <c r="D79" i="38" s="1"/>
  <c r="F70" i="38"/>
  <c r="F65" i="38" s="1"/>
  <c r="E70" i="38"/>
  <c r="E65" i="38" s="1"/>
  <c r="D70" i="38"/>
  <c r="D65" i="38" s="1"/>
  <c r="F37" i="38"/>
  <c r="F25" i="38" s="1"/>
  <c r="E37" i="38"/>
  <c r="E25" i="38" s="1"/>
  <c r="D37" i="38"/>
  <c r="D25" i="38" s="1"/>
  <c r="F21" i="38"/>
  <c r="E21" i="38"/>
  <c r="D21" i="38"/>
  <c r="F12" i="38"/>
  <c r="E12" i="38"/>
  <c r="D12" i="38"/>
  <c r="F5" i="38"/>
  <c r="F4" i="38" s="1"/>
  <c r="E5" i="38"/>
  <c r="D5" i="38"/>
  <c r="C5" i="6" l="1"/>
  <c r="C4" i="6" s="1"/>
  <c r="D146" i="38"/>
  <c r="F146" i="38"/>
  <c r="E4" i="38"/>
  <c r="D4" i="38"/>
  <c r="E141" i="38"/>
  <c r="E152" i="38" s="1"/>
  <c r="E20" i="38"/>
  <c r="E19" i="38" s="1"/>
  <c r="D141" i="38"/>
  <c r="F141" i="38"/>
  <c r="D20" i="38"/>
  <c r="D19" i="38" s="1"/>
  <c r="D92" i="38" s="1"/>
  <c r="F20" i="38"/>
  <c r="F19" i="38" s="1"/>
  <c r="F92" i="38" s="1"/>
  <c r="E92" i="38" l="1"/>
  <c r="E151" i="38" s="1"/>
  <c r="E150" i="38" s="1"/>
  <c r="E146" i="38" s="1"/>
</calcChain>
</file>

<file path=xl/sharedStrings.xml><?xml version="1.0" encoding="utf-8"?>
<sst xmlns="http://schemas.openxmlformats.org/spreadsheetml/2006/main" count="1023" uniqueCount="662">
  <si>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</si>
  <si>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</si>
  <si>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</si>
  <si>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</si>
  <si>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</si>
  <si>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</si>
  <si>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</si>
  <si>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</si>
  <si>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</si>
  <si>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</si>
  <si>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</si>
  <si>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</si>
  <si>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</si>
  <si>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</si>
  <si>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</si>
  <si>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</si>
  <si>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</si>
  <si>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</si>
  <si>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</si>
  <si>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</si>
  <si>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</si>
  <si>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</si>
  <si>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</si>
  <si>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</si>
  <si>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</si>
  <si>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</si>
  <si>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</si>
  <si>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</si>
  <si>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</si>
  <si>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</si>
  <si>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</si>
  <si>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</si>
  <si>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</si>
  <si>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</si>
  <si>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</si>
  <si>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</si>
  <si>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</si>
  <si>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</si>
  <si>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</si>
  <si>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</si>
  <si>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</si>
  <si>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</si>
  <si>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</si>
  <si>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</si>
  <si>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</si>
  <si>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</si>
  <si>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</si>
  <si>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</si>
  <si>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</si>
  <si>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</si>
  <si>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</si>
  <si>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</si>
  <si>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</si>
  <si>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</si>
  <si>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</si>
  <si>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</si>
  <si>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</si>
  <si>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</si>
  <si>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</si>
  <si>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</si>
  <si>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</si>
  <si>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</si>
  <si>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</si>
  <si>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</si>
  <si>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</si>
  <si>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</si>
  <si>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</si>
  <si>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</si>
  <si>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</si>
  <si>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</si>
  <si>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</si>
  <si>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</si>
  <si>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</si>
  <si>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</si>
  <si>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</si>
  <si>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</si>
  <si>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</si>
  <si>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</si>
  <si>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</si>
  <si>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</si>
  <si>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</si>
  <si>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</si>
  <si>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</si>
  <si>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</si>
  <si>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</si>
  <si>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</si>
  <si>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</si>
  <si>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</si>
  <si>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</si>
  <si>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</si>
  <si>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</si>
  <si>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</si>
  <si>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</si>
  <si>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</si>
  <si>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</si>
  <si>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</si>
  <si>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</si>
  <si>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</si>
  <si>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</si>
  <si>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</si>
  <si>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</si>
  <si>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</si>
  <si>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</si>
  <si>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</si>
  <si>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</si>
  <si>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</si>
  <si>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</si>
  <si>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</si>
  <si>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</si>
  <si>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</si>
  <si>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</si>
  <si>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</si>
  <si>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</si>
  <si>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</si>
  <si>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</si>
  <si>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</si>
  <si>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</si>
  <si>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</si>
  <si>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</si>
  <si>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</si>
  <si>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</si>
  <si>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</si>
  <si>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</si>
  <si>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</si>
  <si>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</si>
  <si>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</si>
  <si>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</si>
  <si>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</si>
  <si>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</si>
  <si>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</si>
  <si>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</si>
  <si>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</si>
  <si>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</si>
  <si>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</si>
  <si>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</si>
  <si>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</si>
  <si>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</si>
  <si>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</si>
  <si>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</si>
  <si>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</si>
  <si>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</si>
  <si>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</si>
  <si>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</si>
  <si>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</si>
  <si>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</si>
  <si>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</si>
  <si>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</si>
  <si>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</si>
  <si>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</si>
  <si>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</si>
  <si>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</si>
  <si>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</si>
  <si>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</si>
  <si>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</si>
  <si>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</si>
  <si>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</si>
  <si>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</si>
  <si>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</si>
  <si>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</si>
  <si>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</si>
  <si>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</si>
  <si>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</si>
  <si>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</si>
  <si>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</si>
  <si>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</si>
  <si>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</si>
  <si>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</si>
  <si>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</si>
  <si>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</si>
  <si>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</si>
  <si>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</si>
  <si>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</si>
  <si>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</si>
  <si>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</si>
  <si>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</si>
  <si>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</si>
  <si>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</si>
  <si>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</si>
  <si>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</si>
  <si>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</si>
  <si>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</si>
  <si>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</si>
  <si>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</si>
  <si>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</si>
  <si>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</si>
  <si>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</si>
  <si>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</si>
  <si>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</si>
  <si>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</si>
  <si>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</si>
  <si>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</si>
  <si>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</si>
  <si>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</si>
  <si>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</si>
  <si>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</si>
  <si>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</si>
  <si>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</si>
  <si>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</si>
  <si>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</si>
  <si>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</si>
  <si>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</si>
  <si>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</si>
  <si>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</si>
  <si>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</si>
  <si>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</si>
  <si>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</si>
  <si>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</si>
  <si>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</si>
  <si>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</si>
  <si>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</si>
  <si>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</si>
  <si>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</si>
  <si>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</si>
  <si>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</si>
  <si>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</si>
  <si>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</si>
  <si>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</si>
  <si>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</si>
  <si>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</si>
  <si>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</si>
  <si>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</si>
  <si>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</si>
  <si>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</si>
  <si>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</si>
  <si>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</si>
  <si>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</si>
  <si>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</si>
  <si>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</si>
  <si>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</si>
  <si>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</si>
  <si>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</si>
  <si>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</si>
  <si>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</si>
  <si>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</si>
  <si>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</si>
  <si>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</si>
  <si>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</si>
  <si>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</si>
  <si>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</si>
  <si>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</si>
  <si>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</si>
  <si>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</si>
  <si>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</si>
  <si>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</si>
  <si>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</si>
  <si>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</si>
  <si>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</si>
  <si>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</si>
  <si>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</si>
  <si>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</si>
  <si>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</si>
  <si>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</si>
  <si>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</si>
  <si>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</si>
  <si>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</si>
  <si>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</si>
  <si>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</si>
  <si>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</si>
  <si>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</si>
  <si>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</si>
  <si>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</si>
  <si>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</si>
  <si>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</si>
  <si>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</si>
  <si>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</si>
  <si>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</si>
  <si>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</si>
  <si>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</si>
  <si>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</si>
  <si>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</si>
  <si>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</si>
  <si>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</si>
  <si>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</si>
  <si>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</si>
  <si>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</si>
  <si>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</si>
  <si>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</si>
  <si>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</si>
  <si>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</si>
  <si>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</si>
  <si>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</si>
  <si>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</si>
  <si>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</si>
  <si>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</si>
  <si>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</si>
  <si>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</si>
  <si>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</si>
  <si>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</si>
  <si>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</si>
  <si>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</si>
  <si>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</si>
  <si>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</si>
  <si>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</si>
  <si>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</si>
  <si>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</si>
  <si>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</si>
  <si>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</si>
  <si>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</si>
  <si>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</si>
  <si>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</si>
  <si>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</si>
  <si>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</si>
  <si>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</si>
  <si>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</si>
  <si>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</si>
  <si>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</si>
  <si>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</si>
  <si>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</si>
  <si>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</si>
  <si>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</si>
  <si>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</si>
  <si>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</si>
  <si>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</si>
  <si>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</si>
  <si>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</si>
  <si>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</si>
  <si>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</si>
  <si>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</si>
  <si>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</si>
  <si>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</si>
  <si>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</si>
  <si>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</si>
  <si>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</si>
  <si>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</si>
  <si>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</si>
  <si>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</si>
  <si>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</si>
  <si>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</si>
  <si>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</si>
  <si>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</si>
  <si>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</si>
  <si>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</si>
  <si>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</si>
  <si>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</si>
  <si>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</si>
  <si>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</si>
  <si>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</si>
  <si>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</si>
  <si>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</si>
  <si>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</si>
  <si>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</si>
  <si>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</si>
  <si>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</si>
  <si>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</si>
  <si>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</si>
  <si>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</si>
  <si>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</si>
  <si>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</si>
  <si>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</si>
  <si>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</si>
  <si>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</si>
  <si>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</si>
  <si>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</si>
  <si>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</si>
  <si>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</si>
  <si>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</si>
  <si>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</si>
  <si>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</si>
  <si>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</si>
  <si>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</si>
  <si>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</si>
  <si>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</si>
  <si>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</si>
  <si>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</si>
  <si>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</si>
  <si>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</si>
  <si>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</si>
  <si>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</si>
  <si>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</si>
  <si>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</si>
  <si>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</si>
  <si>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</si>
  <si>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</si>
  <si>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</si>
  <si>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</si>
  <si>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</si>
  <si>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</si>
  <si>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</si>
  <si>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</si>
  <si>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</si>
  <si>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</si>
  <si>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</si>
  <si>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</si>
  <si>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</si>
  <si>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</si>
  <si>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</si>
  <si>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</si>
  <si>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</si>
  <si>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</si>
  <si>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</si>
  <si>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</si>
  <si>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</si>
  <si>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</si>
  <si>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</si>
  <si>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</si>
  <si>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</si>
  <si>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</si>
  <si>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</si>
  <si>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</si>
  <si>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</si>
  <si>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</si>
  <si>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</si>
  <si>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</si>
  <si>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</si>
  <si>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</si>
  <si>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</si>
  <si>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</si>
  <si>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</si>
  <si>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</si>
  <si>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</si>
  <si>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</si>
  <si>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</si>
  <si>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</si>
  <si>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</si>
  <si>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</si>
  <si>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</si>
  <si>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</si>
  <si>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</si>
  <si>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</si>
  <si>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</si>
  <si>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</si>
  <si>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</si>
  <si>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</si>
  <si>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</si>
  <si>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</si>
  <si>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</si>
  <si>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</si>
  <si>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</si>
  <si>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</si>
  <si>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</si>
  <si>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</si>
  <si>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</si>
  <si>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</si>
  <si>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</si>
  <si>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</si>
  <si>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</si>
  <si>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</si>
  <si>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</si>
  <si>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</si>
  <si>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</si>
  <si>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</si>
  <si>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</si>
  <si>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</si>
  <si>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</si>
  <si>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</si>
  <si>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</si>
  <si>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</si>
  <si>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</si>
  <si>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</si>
  <si>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</si>
  <si>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</si>
  <si>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</si>
  <si>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</si>
  <si>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</si>
  <si>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</si>
  <si>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</si>
  <si>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</si>
  <si>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</si>
  <si>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</si>
  <si>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</si>
  <si>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</si>
  <si>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</si>
  <si>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</si>
  <si>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</si>
  <si>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</si>
  <si>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</si>
  <si>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</si>
  <si>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</si>
  <si>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</si>
  <si>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</si>
  <si>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</si>
  <si>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</si>
  <si>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</si>
  <si>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</si>
  <si>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</si>
  <si>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</si>
  <si>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</si>
  <si>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</si>
  <si>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</si>
  <si>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</si>
  <si>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</si>
  <si>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</si>
  <si>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ГП Эгвекинот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</si>
  <si>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</si>
  <si>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</si>
  <si>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</si>
  <si>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</si>
  <si>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</si>
  <si>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</si>
  <si>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</si>
  <si>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</si>
  <si>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</si>
  <si>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</si>
  <si>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</si>
  <si>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</si>
  <si>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</si>
  <si>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</si>
  <si>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</si>
  <si>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</si>
  <si>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СП Амгуэма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</si>
  <si>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</si>
  <si>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</si>
  <si>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</si>
  <si>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</si>
  <si>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</si>
  <si>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</si>
  <si>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</si>
  <si>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</si>
  <si>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</si>
  <si>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</si>
  <si>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</si>
  <si>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</si>
  <si>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</si>
  <si>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</si>
  <si>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</si>
  <si>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</si>
  <si>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</si>
  <si>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</si>
  <si>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</si>
  <si>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</si>
  <si>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</si>
  <si>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</si>
  <si>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</si>
  <si>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</si>
  <si>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СП Нутепельмен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</si>
  <si>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</si>
  <si>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</si>
  <si>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t>СП Уэлькаль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</si>
  <si>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</si>
  <si>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</si>
  <si>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</si>
  <si>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</si>
  <si>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</si>
  <si>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</si>
  <si>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</si>
  <si>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</si>
  <si>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</si>
  <si>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</si>
  <si>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</si>
  <si>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</si>
  <si>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</si>
  <si>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</si>
  <si>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</si>
  <si>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</si>
  <si>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</si>
  <si>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</si>
  <si>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</si>
  <si>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</si>
  <si>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</si>
  <si>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</si>
  <si>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Фактическое исполнение за 2021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</si>
  <si>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</si>
  <si>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</si>
  <si>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</si>
  <si>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</si>
  <si>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</si>
  <si>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</si>
  <si>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</si>
  <si>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</si>
  <si>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</si>
  <si>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</si>
  <si>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</si>
  <si>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</si>
  <si>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</si>
  <si>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</si>
  <si>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План на 2022 год (по состоянию на 16.12.2022г.)</t>
  </si>
  <si>
    <t>План на 2023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</si>
  <si>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</si>
  <si>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</si>
  <si>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</si>
  <si>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</si>
  <si>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</si>
  <si>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</si>
  <si>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</si>
  <si>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2023 год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</si>
  <si>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</si>
  <si>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</si>
  <si>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</si>
  <si>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Основные показатели прогноза социально-экономического  развития  городского округа Эгвекинот на 2023 - 2025 годы</t>
  </si>
  <si>
    <t>2024 г.</t>
  </si>
  <si>
    <t xml:space="preserve">2025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</si>
  <si>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</si>
  <si>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</si>
  <si>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</si>
  <si>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</si>
  <si>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2023-2025 годы </t>
  </si>
  <si>
    <t>Производство важнейших видов продукции в натуральном выражении по городскому округу Эгвекинот на 2023-2025 годы</t>
  </si>
  <si>
    <t>Факт за 2021 год</t>
  </si>
  <si>
    <t>Ожидаемое выполнение 2022г.</t>
  </si>
  <si>
    <t>2025 г.</t>
  </si>
  <si>
    <t>Объемы производства хлеба и хлебобулочных изделий на 2023 год по городскому округу Эгвекинот</t>
  </si>
  <si>
    <t>Фактически за 2021 год</t>
  </si>
  <si>
    <t>Ожидаемое выполнение за 2022 год</t>
  </si>
  <si>
    <t>Объемы производства цельномолочной продукции
 на 2023 год по городскому округу Эгвекинот</t>
  </si>
  <si>
    <t>ПЛАН по поголовью оленей на 2023 год</t>
  </si>
  <si>
    <t>ФАКТ за 2021 год</t>
  </si>
  <si>
    <t>Ожидаемый за 2022 год</t>
  </si>
  <si>
    <t xml:space="preserve">Численность поголовья на 01.01.2021 </t>
  </si>
  <si>
    <t xml:space="preserve">Численность поголовья на 01.01.2022 </t>
  </si>
  <si>
    <t>Численность поголовья на 01.01.2023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</si>
  <si>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</si>
  <si>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</si>
  <si>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</si>
  <si>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</si>
  <si>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</si>
  <si>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2023-2025 годы </t>
  </si>
  <si>
    <t>по городскому округу Эгвекинот на 2023 - 2025 г.г.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</si>
  <si>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</si>
  <si>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</si>
  <si>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</si>
  <si>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</si>
  <si>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 ТК19-ТК80-ТК81-Комсомольская, 3, Строительство трассы ТВС ДГСВ 40 м.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</si>
  <si>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</si>
  <si>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</si>
  <si>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</si>
  <si>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</si>
  <si>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</si>
  <si>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</si>
  <si>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</si>
  <si>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ост. "Техникум", "Славутич" , Озерный</t>
  </si>
  <si>
    <t>Улица Советская- Портовая</t>
  </si>
  <si>
    <t>Ленина 20,22,22А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</si>
  <si>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</si>
  <si>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</si>
  <si>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</si>
  <si>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</si>
  <si>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</si>
  <si>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</si>
  <si>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</si>
  <si>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Ремонт линии электропередач 0,4 кВ по ул. Прокунина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</si>
  <si>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</si>
  <si>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</si>
  <si>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</si>
  <si>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</si>
  <si>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</si>
  <si>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</si>
  <si>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</si>
  <si>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</si>
  <si>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</si>
  <si>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</si>
  <si>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</si>
  <si>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</si>
  <si>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</si>
  <si>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Строительство гаража тна 10 ед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</si>
  <si>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</si>
  <si>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</si>
  <si>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</si>
  <si>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</si>
  <si>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</si>
  <si>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</si>
  <si>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</si>
  <si>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</si>
  <si>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</si>
  <si>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</si>
  <si>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</si>
  <si>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</si>
  <si>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</si>
  <si>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Перенос здания бани</t>
  </si>
  <si>
    <t>Снос аварийных строений</t>
  </si>
  <si>
    <t>Ремонт жилых домов (11 шт)</t>
  </si>
  <si>
    <t>Капитальный ремонт элетрических линий 0,4кВ</t>
  </si>
  <si>
    <t>Капитальный ремонт модуля забора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</si>
</sst>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2">
      <alignment horizontal="right" vertical="center" shrinkToFit="1"/>
    </xf>
    <xf numFmtId="0" fontId="33" fillId="0" borderId="0"/>
  </cellStyleXfs>
  <cellXfs count="418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5" xfId="9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91" applyNumberFormat="1" applyFont="1" applyFill="1" applyProtection="1"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42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36" fillId="0" borderId="15" xfId="89" applyFont="1" applyFill="1" applyBorder="1" applyAlignment="1">
      <alignment vertical="top" wrapText="1"/>
    </xf>
    <xf numFmtId="3" fontId="58" fillId="0" borderId="2" xfId="106" applyNumberFormat="1" applyFont="1" applyFill="1" applyBorder="1" applyAlignment="1">
      <alignment horizontal="center" vertical="center" wrapText="1"/>
    </xf>
    <xf numFmtId="165" fontId="58" fillId="0" borderId="2" xfId="106" applyNumberFormat="1" applyFont="1" applyFill="1" applyBorder="1" applyAlignment="1">
      <alignment horizontal="center" vertical="center" wrapText="1"/>
    </xf>
    <xf numFmtId="4" fontId="58" fillId="0" borderId="2" xfId="106" applyNumberFormat="1" applyFont="1" applyFill="1" applyBorder="1" applyAlignment="1">
      <alignment horizontal="center" vertical="center" wrapText="1"/>
    </xf>
    <xf numFmtId="0" fontId="43" fillId="0" borderId="0" xfId="106" applyFont="1" applyAlignment="1">
      <alignment horizontal="right" vertical="center"/>
    </xf>
    <xf numFmtId="0" fontId="33" fillId="0" borderId="0" xfId="106"/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  <xf numFmtId="0" fontId="34" fillId="0" borderId="0" xfId="106" applyFont="1" applyAlignment="1">
      <alignment horizontal="center" vertical="center"/>
    </xf>
    <xf numFmtId="0" fontId="36" fillId="0" borderId="0" xfId="106" applyFont="1" applyAlignment="1">
      <alignment vertical="center"/>
    </xf>
    <xf numFmtId="0" fontId="42" fillId="0" borderId="2" xfId="106" applyFont="1" applyBorder="1" applyAlignment="1">
      <alignment horizontal="center" vertical="center" wrapText="1"/>
    </xf>
    <xf numFmtId="0" fontId="18" fillId="0" borderId="2" xfId="106" applyFont="1" applyBorder="1" applyAlignment="1">
      <alignment horizontal="center" vertical="center"/>
    </xf>
    <xf numFmtId="0" fontId="42" fillId="0" borderId="2" xfId="106" applyFont="1" applyBorder="1" applyAlignment="1">
      <alignment horizontal="center" vertical="center" wrapText="1"/>
    </xf>
    <xf numFmtId="0" fontId="36" fillId="0" borderId="2" xfId="106" applyFont="1" applyFill="1" applyBorder="1" applyAlignment="1">
      <alignment vertical="center" wrapText="1"/>
    </xf>
    <xf numFmtId="0" fontId="18" fillId="0" borderId="2" xfId="106" applyFont="1" applyBorder="1"/>
    <xf numFmtId="0" fontId="33" fillId="0" borderId="2" xfId="106" applyBorder="1"/>
    <xf numFmtId="0" fontId="18" fillId="0" borderId="2" xfId="106" applyFont="1" applyBorder="1" applyAlignment="1">
      <alignment horizontal="left" vertical="center" wrapText="1"/>
    </xf>
    <xf numFmtId="0" fontId="18" fillId="0" borderId="2" xfId="106" applyFont="1" applyBorder="1" applyAlignment="1">
      <alignment horizontal="left" vertical="center"/>
    </xf>
    <xf numFmtId="0" fontId="33" fillId="0" borderId="2" xfId="106" applyBorder="1" applyAlignment="1">
      <alignment horizontal="left" vertical="center"/>
    </xf>
    <xf numFmtId="0" fontId="42" fillId="0" borderId="2" xfId="106" applyFont="1" applyBorder="1" applyAlignment="1">
      <alignment horizontal="left" vertical="center" wrapText="1"/>
    </xf>
    <xf numFmtId="0" fontId="42" fillId="7" borderId="2" xfId="106" applyFont="1" applyFill="1" applyBorder="1" applyAlignment="1">
      <alignment horizontal="left" vertical="center" wrapText="1"/>
    </xf>
    <xf numFmtId="9" fontId="18" fillId="0" borderId="2" xfId="106" applyNumberFormat="1" applyFont="1" applyBorder="1" applyAlignment="1">
      <alignment horizontal="left" vertical="center"/>
    </xf>
    <xf numFmtId="0" fontId="36" fillId="0" borderId="2" xfId="106" applyFont="1" applyFill="1" applyBorder="1"/>
    <xf numFmtId="0" fontId="18" fillId="0" borderId="2" xfId="106" applyFont="1" applyBorder="1" applyAlignment="1">
      <alignment horizontal="center"/>
    </xf>
    <xf numFmtId="0" fontId="33" fillId="0" borderId="2" xfId="106" applyBorder="1" applyAlignment="1">
      <alignment horizontal="center"/>
    </xf>
    <xf numFmtId="0" fontId="42" fillId="8" borderId="2" xfId="106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left" vertical="center" wrapText="1"/>
    </xf>
    <xf numFmtId="0" fontId="33" fillId="0" borderId="2" xfId="106" applyBorder="1" applyAlignment="1">
      <alignment horizontal="left" vertical="center" wrapText="1"/>
    </xf>
    <xf numFmtId="0" fontId="33" fillId="0" borderId="2" xfId="106" applyBorder="1" applyAlignment="1">
      <alignment horizont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2" sqref="D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13" t="s">
        <v>202</v>
      </c>
      <c r="B1" s="313"/>
      <c r="C1" s="313"/>
      <c r="D1" s="313"/>
    </row>
    <row r="2" spans="1:4" s="16" customFormat="1" ht="18.75" x14ac:dyDescent="0.3">
      <c r="A2" s="312" t="s">
        <v>201</v>
      </c>
      <c r="B2" s="312"/>
      <c r="C2" s="312"/>
      <c r="D2" s="312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314" t="s">
        <v>195</v>
      </c>
      <c r="B4" s="314"/>
      <c r="C4" s="314"/>
      <c r="D4" s="314"/>
    </row>
    <row r="5" spans="1:4" s="16" customFormat="1" ht="18.75" x14ac:dyDescent="0.3">
      <c r="A5" s="311" t="s">
        <v>185</v>
      </c>
      <c r="B5" s="311"/>
      <c r="C5" s="311" t="s">
        <v>463</v>
      </c>
      <c r="D5" s="311"/>
    </row>
    <row r="6" spans="1:4" s="16" customFormat="1" ht="18.75" x14ac:dyDescent="0.3">
      <c r="A6" s="311" t="s">
        <v>196</v>
      </c>
      <c r="B6" s="311"/>
      <c r="C6" s="311" t="s">
        <v>463</v>
      </c>
      <c r="D6" s="311"/>
    </row>
    <row r="7" spans="1:4" s="16" customFormat="1" ht="18.75" x14ac:dyDescent="0.3">
      <c r="A7" s="311" t="s">
        <v>197</v>
      </c>
      <c r="B7" s="311"/>
      <c r="C7" s="311" t="s">
        <v>463</v>
      </c>
      <c r="D7" s="311"/>
    </row>
    <row r="8" spans="1:4" s="16" customFormat="1" ht="18.75" x14ac:dyDescent="0.3">
      <c r="A8" s="311" t="s">
        <v>198</v>
      </c>
      <c r="B8" s="311"/>
      <c r="C8" s="311" t="s">
        <v>463</v>
      </c>
      <c r="D8" s="311"/>
    </row>
    <row r="9" spans="1:4" s="16" customFormat="1" ht="18.75" x14ac:dyDescent="0.3">
      <c r="A9" s="311" t="s">
        <v>186</v>
      </c>
      <c r="B9" s="311"/>
      <c r="C9" s="311" t="s">
        <v>464</v>
      </c>
      <c r="D9" s="311"/>
    </row>
    <row r="10" spans="1:4" s="16" customFormat="1" ht="18.75" x14ac:dyDescent="0.3">
      <c r="A10" s="311" t="s">
        <v>199</v>
      </c>
      <c r="B10" s="311"/>
      <c r="C10" s="311" t="s">
        <v>187</v>
      </c>
      <c r="D10" s="311"/>
    </row>
    <row r="11" spans="1:4" s="16" customFormat="1" ht="18.75" x14ac:dyDescent="0.3">
      <c r="A11" s="311" t="s">
        <v>200</v>
      </c>
      <c r="B11" s="311"/>
      <c r="C11" s="311" t="s">
        <v>187</v>
      </c>
      <c r="D11" s="311"/>
    </row>
    <row r="12" spans="1:4" s="16" customFormat="1" ht="18.75" x14ac:dyDescent="0.3">
      <c r="A12" s="312"/>
      <c r="B12" s="312"/>
      <c r="C12" s="26"/>
      <c r="D12" s="28"/>
    </row>
    <row r="13" spans="1:4" s="16" customFormat="1" ht="18.75" x14ac:dyDescent="0.3">
      <c r="A13" s="310" t="s">
        <v>190</v>
      </c>
      <c r="B13" s="310"/>
      <c r="C13" s="310"/>
      <c r="D13" s="310"/>
    </row>
    <row r="14" spans="1:4" s="16" customFormat="1" ht="37.5" x14ac:dyDescent="0.3">
      <c r="A14" s="25" t="s">
        <v>189</v>
      </c>
      <c r="B14" s="25" t="s">
        <v>191</v>
      </c>
      <c r="C14" s="29" t="s">
        <v>203</v>
      </c>
      <c r="D14" s="29" t="s">
        <v>188</v>
      </c>
    </row>
    <row r="15" spans="1:4" ht="18.75" x14ac:dyDescent="0.3">
      <c r="A15" s="25" t="s">
        <v>204</v>
      </c>
      <c r="B15" s="25" t="s">
        <v>192</v>
      </c>
      <c r="C15" s="316" t="s">
        <v>478</v>
      </c>
      <c r="D15" s="317"/>
    </row>
    <row r="16" spans="1:4" s="16" customFormat="1" x14ac:dyDescent="0.25"/>
    <row r="17" spans="1:4" ht="18.75" x14ac:dyDescent="0.3">
      <c r="A17" s="310" t="s">
        <v>193</v>
      </c>
      <c r="B17" s="310"/>
      <c r="C17" s="310"/>
      <c r="D17" s="310"/>
    </row>
    <row r="18" spans="1:4" ht="18.75" x14ac:dyDescent="0.3">
      <c r="A18" s="311" t="s">
        <v>197</v>
      </c>
      <c r="B18" s="311"/>
      <c r="C18" s="315" t="s">
        <v>194</v>
      </c>
      <c r="D18" s="315"/>
    </row>
    <row r="19" spans="1:4" ht="18.75" x14ac:dyDescent="0.3">
      <c r="C19" s="24" t="s">
        <v>330</v>
      </c>
      <c r="D19" s="24"/>
    </row>
    <row r="20" spans="1:4" ht="18.75" x14ac:dyDescent="0.3">
      <c r="C20" s="24"/>
      <c r="D20" s="24"/>
    </row>
    <row r="22" spans="1:4" ht="18.75" x14ac:dyDescent="0.3">
      <c r="A22" s="312"/>
      <c r="B22" s="312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topLeftCell="C1" zoomScale="85" zoomScaleNormal="85" workbookViewId="0">
      <selection activeCell="S14" sqref="S14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205" customWidth="1"/>
    <col min="7" max="16384" width="9.140625" style="1"/>
  </cols>
  <sheetData>
    <row r="1" spans="2:6" s="65" customFormat="1" ht="18.75" customHeight="1" x14ac:dyDescent="0.25">
      <c r="C1" s="318" t="s">
        <v>158</v>
      </c>
      <c r="D1" s="318"/>
      <c r="E1" s="318"/>
      <c r="F1" s="318"/>
    </row>
    <row r="2" spans="2:6" s="65" customFormat="1" x14ac:dyDescent="0.25">
      <c r="B2" s="294"/>
      <c r="C2" s="64"/>
      <c r="D2" s="64"/>
      <c r="E2" s="66" t="s">
        <v>0</v>
      </c>
      <c r="F2" s="203"/>
    </row>
    <row r="3" spans="2:6" s="65" customFormat="1" ht="63" x14ac:dyDescent="0.25">
      <c r="B3" s="295" t="s">
        <v>1</v>
      </c>
      <c r="C3" s="67" t="s">
        <v>2</v>
      </c>
      <c r="D3" s="67" t="s">
        <v>550</v>
      </c>
      <c r="E3" s="68" t="s">
        <v>565</v>
      </c>
      <c r="F3" s="67" t="s">
        <v>566</v>
      </c>
    </row>
    <row r="4" spans="2:6" s="65" customFormat="1" x14ac:dyDescent="0.25">
      <c r="B4" s="69" t="s">
        <v>3</v>
      </c>
      <c r="C4" s="69" t="s">
        <v>4</v>
      </c>
      <c r="D4" s="70">
        <f>SUM(D5,D12)</f>
        <v>186770.7</v>
      </c>
      <c r="E4" s="70">
        <f>SUM(E5,E12)</f>
        <v>183818.99999999994</v>
      </c>
      <c r="F4" s="70">
        <f>SUM(F5,F12)</f>
        <v>199512.7</v>
      </c>
    </row>
    <row r="5" spans="2:6" s="65" customFormat="1" x14ac:dyDescent="0.25">
      <c r="B5" s="69"/>
      <c r="C5" s="69" t="s">
        <v>5</v>
      </c>
      <c r="D5" s="70">
        <f>SUM(D6,D7,D8,D9,D10,D11)</f>
        <v>161781.20000000001</v>
      </c>
      <c r="E5" s="70">
        <f>SUM(E6,E7,E8,E9,E10,E11)</f>
        <v>162456.39999999994</v>
      </c>
      <c r="F5" s="70">
        <f>SUM(F6,F7,F8,F9,F10,F11)</f>
        <v>180343.2</v>
      </c>
    </row>
    <row r="6" spans="2:6" s="65" customFormat="1" x14ac:dyDescent="0.25">
      <c r="B6" s="296" t="s">
        <v>6</v>
      </c>
      <c r="C6" s="71" t="s">
        <v>159</v>
      </c>
      <c r="D6" s="73">
        <v>140139.29999999999</v>
      </c>
      <c r="E6" s="72">
        <v>141445.19999999995</v>
      </c>
      <c r="F6" s="72">
        <v>156735.1</v>
      </c>
    </row>
    <row r="7" spans="2:6" s="65" customFormat="1" ht="31.5" x14ac:dyDescent="0.25">
      <c r="B7" s="2" t="s">
        <v>7</v>
      </c>
      <c r="C7" s="71" t="s">
        <v>160</v>
      </c>
      <c r="D7" s="73">
        <v>5836.6</v>
      </c>
      <c r="E7" s="73">
        <v>5145.8</v>
      </c>
      <c r="F7" s="73">
        <v>5304.6</v>
      </c>
    </row>
    <row r="8" spans="2:6" s="65" customFormat="1" x14ac:dyDescent="0.25">
      <c r="B8" s="2" t="s">
        <v>8</v>
      </c>
      <c r="C8" s="71" t="s">
        <v>161</v>
      </c>
      <c r="D8" s="73">
        <v>11006.2</v>
      </c>
      <c r="E8" s="73">
        <v>11156.1</v>
      </c>
      <c r="F8" s="73">
        <v>12140.5</v>
      </c>
    </row>
    <row r="9" spans="2:6" s="65" customFormat="1" x14ac:dyDescent="0.25">
      <c r="B9" s="297" t="s">
        <v>9</v>
      </c>
      <c r="C9" s="71" t="s">
        <v>162</v>
      </c>
      <c r="D9" s="73">
        <v>4016</v>
      </c>
      <c r="E9" s="73">
        <v>4078.9</v>
      </c>
      <c r="F9" s="73">
        <v>5532.6</v>
      </c>
    </row>
    <row r="10" spans="2:6" s="65" customFormat="1" x14ac:dyDescent="0.25">
      <c r="B10" s="2" t="s">
        <v>10</v>
      </c>
      <c r="C10" s="71" t="s">
        <v>163</v>
      </c>
      <c r="D10" s="73">
        <v>783</v>
      </c>
      <c r="E10" s="73">
        <v>630.4</v>
      </c>
      <c r="F10" s="73">
        <v>630.4</v>
      </c>
    </row>
    <row r="11" spans="2:6" s="65" customFormat="1" ht="31.5" x14ac:dyDescent="0.25">
      <c r="B11" s="2" t="s">
        <v>152</v>
      </c>
      <c r="C11" s="71" t="s">
        <v>164</v>
      </c>
      <c r="D11" s="73">
        <v>0.1</v>
      </c>
      <c r="E11" s="77">
        <v>0</v>
      </c>
      <c r="F11" s="77">
        <v>0</v>
      </c>
    </row>
    <row r="12" spans="2:6" s="298" customFormat="1" x14ac:dyDescent="0.25">
      <c r="B12" s="3"/>
      <c r="C12" s="3" t="s">
        <v>11</v>
      </c>
      <c r="D12" s="74">
        <f>SUM(D13:D18)</f>
        <v>24989.5</v>
      </c>
      <c r="E12" s="74">
        <f>SUM(E13:E18)</f>
        <v>21362.600000000002</v>
      </c>
      <c r="F12" s="74">
        <f>SUM(F13:F18)</f>
        <v>19169.5</v>
      </c>
    </row>
    <row r="13" spans="2:6" s="65" customFormat="1" ht="31.5" x14ac:dyDescent="0.25">
      <c r="B13" s="2" t="s">
        <v>12</v>
      </c>
      <c r="C13" s="71" t="s">
        <v>165</v>
      </c>
      <c r="D13" s="73">
        <v>12861.8</v>
      </c>
      <c r="E13" s="73">
        <v>17091.2</v>
      </c>
      <c r="F13" s="73">
        <v>16750</v>
      </c>
    </row>
    <row r="14" spans="2:6" s="65" customFormat="1" x14ac:dyDescent="0.25">
      <c r="B14" s="2" t="s">
        <v>13</v>
      </c>
      <c r="C14" s="71" t="s">
        <v>166</v>
      </c>
      <c r="D14" s="73">
        <v>2904.5</v>
      </c>
      <c r="E14" s="73">
        <v>3000.0000000000005</v>
      </c>
      <c r="F14" s="73">
        <v>1861.2</v>
      </c>
    </row>
    <row r="15" spans="2:6" s="79" customFormat="1" ht="31.5" x14ac:dyDescent="0.25">
      <c r="B15" s="78" t="s">
        <v>14</v>
      </c>
      <c r="C15" s="71" t="s">
        <v>167</v>
      </c>
      <c r="D15" s="73">
        <v>7976.2</v>
      </c>
      <c r="E15" s="73">
        <v>1110</v>
      </c>
      <c r="F15" s="73">
        <v>500</v>
      </c>
    </row>
    <row r="16" spans="2:6" s="79" customFormat="1" x14ac:dyDescent="0.25">
      <c r="B16" s="78" t="s">
        <v>151</v>
      </c>
      <c r="C16" s="71" t="s">
        <v>168</v>
      </c>
      <c r="D16" s="73">
        <v>475.3</v>
      </c>
      <c r="E16" s="73">
        <v>0</v>
      </c>
      <c r="F16" s="73">
        <v>0</v>
      </c>
    </row>
    <row r="17" spans="2:6" s="65" customFormat="1" x14ac:dyDescent="0.25">
      <c r="B17" s="2" t="s">
        <v>15</v>
      </c>
      <c r="C17" s="71" t="s">
        <v>169</v>
      </c>
      <c r="D17" s="73">
        <v>727.9</v>
      </c>
      <c r="E17" s="73">
        <v>52.5</v>
      </c>
      <c r="F17" s="73">
        <v>58.3</v>
      </c>
    </row>
    <row r="18" spans="2:6" s="65" customFormat="1" x14ac:dyDescent="0.25">
      <c r="B18" s="2"/>
      <c r="C18" s="71" t="s">
        <v>531</v>
      </c>
      <c r="D18" s="73">
        <v>43.8</v>
      </c>
      <c r="E18" s="73">
        <v>108.9</v>
      </c>
      <c r="F18" s="73">
        <v>0</v>
      </c>
    </row>
    <row r="19" spans="2:6" s="65" customFormat="1" x14ac:dyDescent="0.25">
      <c r="B19" s="3" t="s">
        <v>16</v>
      </c>
      <c r="C19" s="3" t="s">
        <v>17</v>
      </c>
      <c r="D19" s="75">
        <f>SUM(D20,D89:D91)</f>
        <v>1940993.7000000004</v>
      </c>
      <c r="E19" s="75">
        <f>SUM(E20,E89:E91)</f>
        <v>1772179.6</v>
      </c>
      <c r="F19" s="75">
        <f>SUM(F20,F89:F91)</f>
        <v>1742220.3000000003</v>
      </c>
    </row>
    <row r="20" spans="2:6" s="65" customFormat="1" ht="31.5" x14ac:dyDescent="0.25">
      <c r="B20" s="3" t="s">
        <v>18</v>
      </c>
      <c r="C20" s="76" t="s">
        <v>19</v>
      </c>
      <c r="D20" s="75">
        <f>SUM(D21,D25,D65,D79)</f>
        <v>1941082.5000000005</v>
      </c>
      <c r="E20" s="75">
        <f>SUM(E21,E25,E65,E79)</f>
        <v>1772389.6</v>
      </c>
      <c r="F20" s="75">
        <f>SUM(F21,F25,F65,F79)</f>
        <v>1742220.3000000003</v>
      </c>
    </row>
    <row r="21" spans="2:6" s="65" customFormat="1" ht="31.5" x14ac:dyDescent="0.25">
      <c r="B21" s="3" t="s">
        <v>20</v>
      </c>
      <c r="C21" s="3" t="s">
        <v>21</v>
      </c>
      <c r="D21" s="74">
        <f>SUM(D22:D24)</f>
        <v>1082092.6000000001</v>
      </c>
      <c r="E21" s="74">
        <f>SUM(E22:E24)</f>
        <v>771018.59999999986</v>
      </c>
      <c r="F21" s="74">
        <f>SUM(F22:F24)</f>
        <v>726010.4</v>
      </c>
    </row>
    <row r="22" spans="2:6" s="65" customFormat="1" ht="31.5" x14ac:dyDescent="0.25">
      <c r="B22" s="3"/>
      <c r="C22" s="201" t="s">
        <v>551</v>
      </c>
      <c r="D22" s="73">
        <v>609990.1</v>
      </c>
      <c r="E22" s="73">
        <v>691674.7</v>
      </c>
      <c r="F22" s="73">
        <v>726010.4</v>
      </c>
    </row>
    <row r="23" spans="2:6" s="65" customFormat="1" ht="31.5" x14ac:dyDescent="0.25">
      <c r="B23" s="3"/>
      <c r="C23" s="201" t="s">
        <v>552</v>
      </c>
      <c r="D23" s="73">
        <v>462531.5</v>
      </c>
      <c r="E23" s="73">
        <v>61829.2</v>
      </c>
      <c r="F23" s="73">
        <v>0</v>
      </c>
    </row>
    <row r="24" spans="2:6" s="65" customFormat="1" ht="31.5" x14ac:dyDescent="0.25">
      <c r="B24" s="3"/>
      <c r="C24" s="201" t="s">
        <v>553</v>
      </c>
      <c r="D24" s="73">
        <v>9571</v>
      </c>
      <c r="E24" s="73">
        <v>17514.7</v>
      </c>
      <c r="F24" s="73">
        <v>0</v>
      </c>
    </row>
    <row r="25" spans="2:6" s="65" customFormat="1" ht="31.5" x14ac:dyDescent="0.25">
      <c r="B25" s="3" t="s">
        <v>22</v>
      </c>
      <c r="C25" s="3" t="s">
        <v>23</v>
      </c>
      <c r="D25" s="75">
        <f>SUM(D26:D37)</f>
        <v>244112.60000000003</v>
      </c>
      <c r="E25" s="75">
        <f>SUM(E26:E37)</f>
        <v>311173.8</v>
      </c>
      <c r="F25" s="75">
        <f>SUM(F26:F37)</f>
        <v>275365</v>
      </c>
    </row>
    <row r="26" spans="2:6" s="65" customFormat="1" ht="31.5" x14ac:dyDescent="0.25">
      <c r="B26" s="3"/>
      <c r="C26" s="2" t="s">
        <v>331</v>
      </c>
      <c r="D26" s="77">
        <v>24219</v>
      </c>
      <c r="E26" s="77">
        <v>53631.1</v>
      </c>
      <c r="F26" s="77">
        <v>52258.2</v>
      </c>
    </row>
    <row r="27" spans="2:6" s="65" customFormat="1" ht="47.25" x14ac:dyDescent="0.25">
      <c r="B27" s="3"/>
      <c r="C27" s="201" t="s">
        <v>426</v>
      </c>
      <c r="D27" s="77">
        <v>0</v>
      </c>
      <c r="E27" s="77">
        <v>3265.3</v>
      </c>
      <c r="F27" s="77">
        <v>0</v>
      </c>
    </row>
    <row r="28" spans="2:6" s="65" customFormat="1" ht="63" x14ac:dyDescent="0.25">
      <c r="B28" s="3"/>
      <c r="C28" s="201" t="s">
        <v>567</v>
      </c>
      <c r="D28" s="77">
        <v>0</v>
      </c>
      <c r="E28" s="77">
        <v>0</v>
      </c>
      <c r="F28" s="77">
        <v>2795.9</v>
      </c>
    </row>
    <row r="29" spans="2:6" s="65" customFormat="1" ht="63" x14ac:dyDescent="0.25">
      <c r="B29" s="3"/>
      <c r="C29" s="201" t="s">
        <v>568</v>
      </c>
      <c r="D29" s="77">
        <v>0</v>
      </c>
      <c r="E29" s="77">
        <v>0</v>
      </c>
      <c r="F29" s="77">
        <v>314.60000000000002</v>
      </c>
    </row>
    <row r="30" spans="2:6" s="65" customFormat="1" ht="47.25" x14ac:dyDescent="0.25">
      <c r="B30" s="3"/>
      <c r="C30" s="201" t="s">
        <v>421</v>
      </c>
      <c r="D30" s="77">
        <v>0</v>
      </c>
      <c r="E30" s="77">
        <v>0</v>
      </c>
      <c r="F30" s="77">
        <v>5790.9</v>
      </c>
    </row>
    <row r="31" spans="2:6" s="65" customFormat="1" ht="63" x14ac:dyDescent="0.25">
      <c r="B31" s="3"/>
      <c r="C31" s="201" t="s">
        <v>465</v>
      </c>
      <c r="D31" s="77">
        <v>942.7</v>
      </c>
      <c r="E31" s="77">
        <v>3718.4</v>
      </c>
      <c r="F31" s="77">
        <v>3265.3</v>
      </c>
    </row>
    <row r="32" spans="2:6" s="65" customFormat="1" ht="63" x14ac:dyDescent="0.25">
      <c r="B32" s="3"/>
      <c r="C32" s="201" t="s">
        <v>466</v>
      </c>
      <c r="D32" s="77">
        <v>6435</v>
      </c>
      <c r="E32" s="77">
        <v>11295.7</v>
      </c>
      <c r="F32" s="77">
        <v>10592.7</v>
      </c>
    </row>
    <row r="33" spans="2:6" s="65" customFormat="1" ht="47.25" x14ac:dyDescent="0.25">
      <c r="B33" s="3"/>
      <c r="C33" s="2" t="s">
        <v>569</v>
      </c>
      <c r="D33" s="77">
        <v>0</v>
      </c>
      <c r="E33" s="77">
        <v>0</v>
      </c>
      <c r="F33" s="77">
        <v>1873.9</v>
      </c>
    </row>
    <row r="34" spans="2:6" s="65" customFormat="1" ht="31.5" x14ac:dyDescent="0.25">
      <c r="B34" s="3"/>
      <c r="C34" s="2" t="s">
        <v>534</v>
      </c>
      <c r="D34" s="77">
        <v>0</v>
      </c>
      <c r="E34" s="77">
        <v>19151.5</v>
      </c>
      <c r="F34" s="77">
        <v>32809.800000000003</v>
      </c>
    </row>
    <row r="35" spans="2:6" s="65" customFormat="1" ht="31.5" x14ac:dyDescent="0.25">
      <c r="B35" s="3"/>
      <c r="C35" s="2" t="s">
        <v>570</v>
      </c>
      <c r="D35" s="77">
        <v>0</v>
      </c>
      <c r="E35" s="77">
        <v>0</v>
      </c>
      <c r="F35" s="77">
        <v>5367.3</v>
      </c>
    </row>
    <row r="36" spans="2:6" s="65" customFormat="1" ht="31.5" x14ac:dyDescent="0.25">
      <c r="B36" s="3"/>
      <c r="C36" s="2" t="s">
        <v>571</v>
      </c>
      <c r="D36" s="77">
        <v>0</v>
      </c>
      <c r="E36" s="77">
        <v>0</v>
      </c>
      <c r="F36" s="77">
        <v>31835.4</v>
      </c>
    </row>
    <row r="37" spans="2:6" s="65" customFormat="1" x14ac:dyDescent="0.25">
      <c r="B37" s="2" t="s">
        <v>24</v>
      </c>
      <c r="C37" s="2" t="s">
        <v>25</v>
      </c>
      <c r="D37" s="77">
        <f>SUM(D39:D64)</f>
        <v>212515.90000000002</v>
      </c>
      <c r="E37" s="77">
        <f>SUM(E39:E64)</f>
        <v>220111.8</v>
      </c>
      <c r="F37" s="77">
        <f>SUM(F39:F64)</f>
        <v>128461</v>
      </c>
    </row>
    <row r="38" spans="2:6" s="65" customFormat="1" x14ac:dyDescent="0.25">
      <c r="C38" s="2" t="s">
        <v>26</v>
      </c>
      <c r="D38" s="73"/>
      <c r="E38" s="73"/>
      <c r="F38" s="73"/>
    </row>
    <row r="39" spans="2:6" s="65" customFormat="1" ht="31.5" x14ac:dyDescent="0.25">
      <c r="B39" s="2"/>
      <c r="C39" s="2" t="s">
        <v>332</v>
      </c>
      <c r="D39" s="73">
        <v>73407.100000000006</v>
      </c>
      <c r="E39" s="77">
        <v>98144.6</v>
      </c>
      <c r="F39" s="77">
        <v>50000</v>
      </c>
    </row>
    <row r="40" spans="2:6" s="65" customFormat="1" ht="32.25" customHeight="1" x14ac:dyDescent="0.25">
      <c r="B40" s="2"/>
      <c r="C40" s="55" t="s">
        <v>28</v>
      </c>
      <c r="D40" s="73">
        <v>7165.2</v>
      </c>
      <c r="E40" s="77">
        <v>8430.7000000000007</v>
      </c>
      <c r="F40" s="77">
        <v>5396.8</v>
      </c>
    </row>
    <row r="41" spans="2:6" s="65" customFormat="1" ht="32.25" customHeight="1" x14ac:dyDescent="0.25">
      <c r="B41" s="2"/>
      <c r="C41" s="55" t="s">
        <v>418</v>
      </c>
      <c r="D41" s="73">
        <v>11983.2</v>
      </c>
      <c r="E41" s="77">
        <v>11703</v>
      </c>
      <c r="F41" s="73">
        <v>7974</v>
      </c>
    </row>
    <row r="42" spans="2:6" s="65" customFormat="1" x14ac:dyDescent="0.25">
      <c r="B42" s="2"/>
      <c r="C42" s="55" t="s">
        <v>533</v>
      </c>
      <c r="D42" s="73">
        <v>3463.1</v>
      </c>
      <c r="E42" s="77">
        <v>5112.2</v>
      </c>
      <c r="F42" s="73">
        <v>0</v>
      </c>
    </row>
    <row r="43" spans="2:6" s="65" customFormat="1" ht="31.5" x14ac:dyDescent="0.25">
      <c r="B43" s="2"/>
      <c r="C43" s="55" t="s">
        <v>419</v>
      </c>
      <c r="D43" s="73">
        <v>6273.2</v>
      </c>
      <c r="E43" s="77">
        <v>9990</v>
      </c>
      <c r="F43" s="77">
        <v>0</v>
      </c>
    </row>
    <row r="44" spans="2:6" s="65" customFormat="1" x14ac:dyDescent="0.25">
      <c r="B44" s="2"/>
      <c r="C44" s="55" t="s">
        <v>420</v>
      </c>
      <c r="D44" s="73">
        <v>1433</v>
      </c>
      <c r="E44" s="77">
        <v>0</v>
      </c>
      <c r="F44" s="77">
        <v>635.79999999999995</v>
      </c>
    </row>
    <row r="45" spans="2:6" s="65" customFormat="1" ht="31.5" x14ac:dyDescent="0.25">
      <c r="B45" s="2"/>
      <c r="C45" s="2" t="s">
        <v>27</v>
      </c>
      <c r="D45" s="73">
        <v>5197.5</v>
      </c>
      <c r="E45" s="77">
        <v>6756.7</v>
      </c>
      <c r="F45" s="77">
        <v>6756.8</v>
      </c>
    </row>
    <row r="46" spans="2:6" s="65" customFormat="1" ht="31.5" x14ac:dyDescent="0.25">
      <c r="B46" s="2"/>
      <c r="C46" s="201" t="s">
        <v>430</v>
      </c>
      <c r="D46" s="77">
        <v>800</v>
      </c>
      <c r="E46" s="77">
        <v>800</v>
      </c>
      <c r="F46" s="77">
        <v>500</v>
      </c>
    </row>
    <row r="47" spans="2:6" s="65" customFormat="1" ht="31.5" x14ac:dyDescent="0.25">
      <c r="B47" s="2"/>
      <c r="C47" s="201" t="s">
        <v>423</v>
      </c>
      <c r="D47" s="73">
        <v>100</v>
      </c>
      <c r="E47" s="77">
        <v>200</v>
      </c>
      <c r="F47" s="77">
        <v>0</v>
      </c>
    </row>
    <row r="48" spans="2:6" s="65" customFormat="1" ht="31.5" x14ac:dyDescent="0.25">
      <c r="B48" s="2"/>
      <c r="C48" s="201" t="s">
        <v>424</v>
      </c>
      <c r="D48" s="73">
        <v>5336.3</v>
      </c>
      <c r="E48" s="77">
        <v>0</v>
      </c>
      <c r="F48" s="77">
        <v>0</v>
      </c>
    </row>
    <row r="49" spans="2:6" s="65" customFormat="1" ht="31.5" x14ac:dyDescent="0.25">
      <c r="B49" s="2"/>
      <c r="C49" s="201" t="s">
        <v>425</v>
      </c>
      <c r="D49" s="77"/>
      <c r="E49" s="77">
        <v>500</v>
      </c>
      <c r="F49" s="77">
        <v>0</v>
      </c>
    </row>
    <row r="50" spans="2:6" s="65" customFormat="1" ht="31.5" x14ac:dyDescent="0.25">
      <c r="B50" s="2"/>
      <c r="C50" s="201" t="s">
        <v>431</v>
      </c>
      <c r="D50" s="77">
        <v>1000</v>
      </c>
      <c r="E50" s="77">
        <v>1000</v>
      </c>
      <c r="F50" s="77">
        <v>1000</v>
      </c>
    </row>
    <row r="51" spans="2:6" s="65" customFormat="1" ht="47.25" x14ac:dyDescent="0.25">
      <c r="B51" s="2"/>
      <c r="C51" s="201" t="s">
        <v>535</v>
      </c>
      <c r="D51" s="77">
        <v>0</v>
      </c>
      <c r="E51" s="77">
        <v>1000</v>
      </c>
      <c r="F51" s="77">
        <v>0</v>
      </c>
    </row>
    <row r="52" spans="2:6" s="65" customFormat="1" ht="31.5" x14ac:dyDescent="0.25">
      <c r="B52" s="2"/>
      <c r="C52" s="201" t="s">
        <v>432</v>
      </c>
      <c r="D52" s="77">
        <v>0</v>
      </c>
      <c r="E52" s="77">
        <v>0</v>
      </c>
      <c r="F52" s="77">
        <v>6795.4</v>
      </c>
    </row>
    <row r="53" spans="2:6" s="65" customFormat="1" ht="47.25" x14ac:dyDescent="0.25">
      <c r="B53" s="2"/>
      <c r="C53" s="201" t="s">
        <v>467</v>
      </c>
      <c r="D53" s="77">
        <v>20000</v>
      </c>
      <c r="E53" s="77">
        <v>10837.3</v>
      </c>
      <c r="F53" s="77">
        <v>10837.3</v>
      </c>
    </row>
    <row r="54" spans="2:6" s="65" customFormat="1" x14ac:dyDescent="0.25">
      <c r="B54" s="2"/>
      <c r="C54" s="201" t="s">
        <v>554</v>
      </c>
      <c r="D54" s="77">
        <v>783</v>
      </c>
      <c r="E54" s="77">
        <v>995.8</v>
      </c>
      <c r="F54" s="77">
        <v>5396.2</v>
      </c>
    </row>
    <row r="55" spans="2:6" s="65" customFormat="1" ht="47.25" x14ac:dyDescent="0.25">
      <c r="B55" s="2"/>
      <c r="C55" s="201" t="s">
        <v>555</v>
      </c>
      <c r="D55" s="77">
        <v>0</v>
      </c>
      <c r="E55" s="77">
        <v>0</v>
      </c>
      <c r="F55" s="77">
        <v>0</v>
      </c>
    </row>
    <row r="56" spans="2:6" s="65" customFormat="1" ht="31.5" x14ac:dyDescent="0.25">
      <c r="B56" s="2"/>
      <c r="C56" s="201" t="s">
        <v>422</v>
      </c>
      <c r="D56" s="73">
        <v>44969.599999999999</v>
      </c>
      <c r="E56" s="77">
        <v>39100</v>
      </c>
      <c r="F56" s="77">
        <v>23725.1</v>
      </c>
    </row>
    <row r="57" spans="2:6" s="65" customFormat="1" ht="31.5" x14ac:dyDescent="0.25">
      <c r="B57" s="2"/>
      <c r="C57" s="299" t="s">
        <v>556</v>
      </c>
      <c r="D57" s="77">
        <v>19843.599999999999</v>
      </c>
      <c r="E57" s="77">
        <v>14014.6</v>
      </c>
      <c r="F57" s="77">
        <v>8148.6</v>
      </c>
    </row>
    <row r="58" spans="2:6" s="65" customFormat="1" ht="31.5" x14ac:dyDescent="0.25">
      <c r="B58" s="2"/>
      <c r="C58" s="299" t="s">
        <v>557</v>
      </c>
      <c r="D58" s="77">
        <v>10000</v>
      </c>
      <c r="E58" s="77">
        <v>8331.9</v>
      </c>
      <c r="F58" s="77">
        <v>0</v>
      </c>
    </row>
    <row r="59" spans="2:6" s="65" customFormat="1" ht="31.5" x14ac:dyDescent="0.25">
      <c r="B59" s="2"/>
      <c r="C59" s="201" t="s">
        <v>572</v>
      </c>
      <c r="D59" s="77">
        <v>0</v>
      </c>
      <c r="E59" s="77">
        <v>500</v>
      </c>
      <c r="F59" s="77">
        <v>510</v>
      </c>
    </row>
    <row r="60" spans="2:6" s="65" customFormat="1" x14ac:dyDescent="0.25">
      <c r="B60" s="2"/>
      <c r="C60" s="201" t="s">
        <v>558</v>
      </c>
      <c r="D60" s="77">
        <v>315.39999999999998</v>
      </c>
      <c r="E60" s="77">
        <v>500</v>
      </c>
      <c r="F60" s="77">
        <v>0</v>
      </c>
    </row>
    <row r="61" spans="2:6" s="65" customFormat="1" x14ac:dyDescent="0.25">
      <c r="B61" s="2"/>
      <c r="C61" s="201" t="s">
        <v>559</v>
      </c>
      <c r="D61" s="77">
        <v>445.7</v>
      </c>
      <c r="E61" s="77">
        <v>0</v>
      </c>
      <c r="F61" s="77">
        <v>0</v>
      </c>
    </row>
    <row r="62" spans="2:6" s="65" customFormat="1" ht="47.25" x14ac:dyDescent="0.25">
      <c r="B62" s="2"/>
      <c r="C62" s="201" t="s">
        <v>560</v>
      </c>
      <c r="D62" s="77">
        <v>0</v>
      </c>
      <c r="E62" s="77">
        <v>2000</v>
      </c>
      <c r="F62" s="77">
        <v>0</v>
      </c>
    </row>
    <row r="63" spans="2:6" s="65" customFormat="1" ht="47.25" x14ac:dyDescent="0.25">
      <c r="B63" s="2"/>
      <c r="C63" s="201" t="s">
        <v>561</v>
      </c>
      <c r="D63" s="77">
        <v>0</v>
      </c>
      <c r="E63" s="77">
        <v>195</v>
      </c>
      <c r="F63" s="77">
        <v>585</v>
      </c>
    </row>
    <row r="64" spans="2:6" s="65" customFormat="1" x14ac:dyDescent="0.25">
      <c r="B64" s="2"/>
      <c r="C64" s="201" t="s">
        <v>573</v>
      </c>
      <c r="D64" s="77">
        <v>0</v>
      </c>
      <c r="E64" s="77">
        <v>0</v>
      </c>
      <c r="F64" s="77">
        <v>200</v>
      </c>
    </row>
    <row r="65" spans="2:6" s="65" customFormat="1" x14ac:dyDescent="0.25">
      <c r="B65" s="3" t="s">
        <v>29</v>
      </c>
      <c r="C65" s="202" t="s">
        <v>468</v>
      </c>
      <c r="D65" s="74">
        <f>SUM(D66:D69,D70)</f>
        <v>594731.20000000007</v>
      </c>
      <c r="E65" s="74">
        <f>SUM(E66:E69,E70)</f>
        <v>657210.10000000009</v>
      </c>
      <c r="F65" s="74">
        <f>SUM(F66:F69,F70)</f>
        <v>727251.8</v>
      </c>
    </row>
    <row r="66" spans="2:6" s="65" customFormat="1" ht="66.75" customHeight="1" x14ac:dyDescent="0.25">
      <c r="B66" s="2" t="s">
        <v>30</v>
      </c>
      <c r="C66" s="2" t="s">
        <v>333</v>
      </c>
      <c r="D66" s="73">
        <v>112</v>
      </c>
      <c r="E66" s="77">
        <v>52</v>
      </c>
      <c r="F66" s="77">
        <v>211.5</v>
      </c>
    </row>
    <row r="67" spans="2:6" s="65" customFormat="1" ht="63" x14ac:dyDescent="0.25">
      <c r="B67" s="2"/>
      <c r="C67" s="56" t="s">
        <v>334</v>
      </c>
      <c r="D67" s="73">
        <v>2310.3000000000002</v>
      </c>
      <c r="E67" s="77">
        <v>3600</v>
      </c>
      <c r="F67" s="77">
        <v>11045.1</v>
      </c>
    </row>
    <row r="68" spans="2:6" s="65" customFormat="1" ht="63" x14ac:dyDescent="0.25">
      <c r="B68" s="2"/>
      <c r="C68" s="2" t="s">
        <v>360</v>
      </c>
      <c r="D68" s="73">
        <v>0</v>
      </c>
      <c r="E68" s="73">
        <v>22.1</v>
      </c>
      <c r="F68" s="73">
        <v>2.2000000000000002</v>
      </c>
    </row>
    <row r="69" spans="2:6" s="65" customFormat="1" ht="31.5" x14ac:dyDescent="0.25">
      <c r="B69" s="2" t="s">
        <v>31</v>
      </c>
      <c r="C69" s="2" t="s">
        <v>359</v>
      </c>
      <c r="D69" s="73">
        <v>2043.5</v>
      </c>
      <c r="E69" s="73">
        <v>2341.8000000000002</v>
      </c>
      <c r="F69" s="73">
        <v>916</v>
      </c>
    </row>
    <row r="70" spans="2:6" s="65" customFormat="1" x14ac:dyDescent="0.25">
      <c r="B70" s="2" t="s">
        <v>33</v>
      </c>
      <c r="C70" s="2" t="s">
        <v>32</v>
      </c>
      <c r="D70" s="73">
        <f>SUM(D72:D78)</f>
        <v>590265.4</v>
      </c>
      <c r="E70" s="73">
        <f>SUM(E72:E78)</f>
        <v>651194.20000000007</v>
      </c>
      <c r="F70" s="73">
        <f>SUM(F72:F78)</f>
        <v>715077</v>
      </c>
    </row>
    <row r="71" spans="2:6" s="65" customFormat="1" x14ac:dyDescent="0.25">
      <c r="C71" s="2" t="s">
        <v>26</v>
      </c>
      <c r="D71" s="73"/>
      <c r="E71" s="73"/>
      <c r="F71" s="73"/>
    </row>
    <row r="72" spans="2:6" s="65" customFormat="1" x14ac:dyDescent="0.25">
      <c r="B72" s="2"/>
      <c r="C72" s="2" t="s">
        <v>34</v>
      </c>
      <c r="D72" s="73">
        <v>258.5</v>
      </c>
      <c r="E72" s="73">
        <v>288.60000000000002</v>
      </c>
      <c r="F72" s="73">
        <v>294.60000000000002</v>
      </c>
    </row>
    <row r="73" spans="2:6" s="65" customFormat="1" x14ac:dyDescent="0.25">
      <c r="B73" s="2"/>
      <c r="C73" s="2" t="s">
        <v>36</v>
      </c>
      <c r="D73" s="73">
        <v>274.39999999999998</v>
      </c>
      <c r="E73" s="73">
        <v>281.8</v>
      </c>
      <c r="F73" s="73">
        <v>318.10000000000002</v>
      </c>
    </row>
    <row r="74" spans="2:6" s="65" customFormat="1" ht="18.75" customHeight="1" x14ac:dyDescent="0.25">
      <c r="B74" s="2"/>
      <c r="C74" s="2" t="s">
        <v>35</v>
      </c>
      <c r="D74" s="73">
        <v>2038.9</v>
      </c>
      <c r="E74" s="73">
        <v>1880.8</v>
      </c>
      <c r="F74" s="73">
        <v>2038.7</v>
      </c>
    </row>
    <row r="75" spans="2:6" s="65" customFormat="1" ht="47.25" x14ac:dyDescent="0.25">
      <c r="B75" s="2"/>
      <c r="C75" s="2" t="s">
        <v>335</v>
      </c>
      <c r="D75" s="73">
        <v>5164.8</v>
      </c>
      <c r="E75" s="73">
        <v>5415.6</v>
      </c>
      <c r="F75" s="73">
        <v>5242.8</v>
      </c>
    </row>
    <row r="76" spans="2:6" s="65" customFormat="1" ht="31.5" x14ac:dyDescent="0.25">
      <c r="B76" s="2"/>
      <c r="C76" s="2" t="s">
        <v>336</v>
      </c>
      <c r="D76" s="73">
        <v>1258.5</v>
      </c>
      <c r="E76" s="73">
        <v>1226</v>
      </c>
      <c r="F76" s="73">
        <v>1296</v>
      </c>
    </row>
    <row r="77" spans="2:6" s="65" customFormat="1" ht="31.5" hidden="1" x14ac:dyDescent="0.25">
      <c r="B77" s="2"/>
      <c r="C77" s="2" t="s">
        <v>337</v>
      </c>
      <c r="D77" s="73"/>
      <c r="E77" s="73"/>
      <c r="F77" s="73">
        <v>0</v>
      </c>
    </row>
    <row r="78" spans="2:6" s="65" customFormat="1" ht="126" x14ac:dyDescent="0.25">
      <c r="B78" s="2"/>
      <c r="C78" s="2" t="s">
        <v>37</v>
      </c>
      <c r="D78" s="73">
        <v>581270.30000000005</v>
      </c>
      <c r="E78" s="73">
        <v>642101.4</v>
      </c>
      <c r="F78" s="73">
        <v>705886.8</v>
      </c>
    </row>
    <row r="79" spans="2:6" s="65" customFormat="1" x14ac:dyDescent="0.25">
      <c r="B79" s="2"/>
      <c r="C79" s="202" t="s">
        <v>427</v>
      </c>
      <c r="D79" s="75">
        <f>SUM(D80:D84)</f>
        <v>20146.099999999999</v>
      </c>
      <c r="E79" s="75">
        <f>SUM(E80:E84)</f>
        <v>32987.1</v>
      </c>
      <c r="F79" s="75">
        <f>SUM(F80:F84)</f>
        <v>13593.1</v>
      </c>
    </row>
    <row r="80" spans="2:6" s="65" customFormat="1" ht="63" x14ac:dyDescent="0.25">
      <c r="B80" s="2"/>
      <c r="C80" s="2" t="s">
        <v>469</v>
      </c>
      <c r="D80" s="73">
        <v>12768.3</v>
      </c>
      <c r="E80" s="292">
        <v>13358.5</v>
      </c>
      <c r="F80" s="292">
        <v>13593.1</v>
      </c>
    </row>
    <row r="81" spans="1:6" s="65" customFormat="1" ht="47.25" hidden="1" x14ac:dyDescent="0.25">
      <c r="B81" s="2"/>
      <c r="C81" s="2" t="s">
        <v>530</v>
      </c>
      <c r="D81" s="73"/>
      <c r="E81" s="73"/>
      <c r="F81" s="73">
        <v>0</v>
      </c>
    </row>
    <row r="82" spans="1:6" s="65" customFormat="1" ht="31.5" x14ac:dyDescent="0.25">
      <c r="B82" s="2"/>
      <c r="C82" s="2" t="s">
        <v>536</v>
      </c>
      <c r="D82" s="73">
        <v>0</v>
      </c>
      <c r="E82" s="73">
        <v>5000</v>
      </c>
      <c r="F82" s="73">
        <v>0</v>
      </c>
    </row>
    <row r="83" spans="1:6" s="65" customFormat="1" ht="63" x14ac:dyDescent="0.25">
      <c r="B83" s="2"/>
      <c r="C83" s="201" t="s">
        <v>537</v>
      </c>
      <c r="D83" s="73">
        <v>0</v>
      </c>
      <c r="E83" s="73">
        <v>8412.6</v>
      </c>
      <c r="F83" s="73">
        <v>0</v>
      </c>
    </row>
    <row r="84" spans="1:6" s="65" customFormat="1" x14ac:dyDescent="0.25">
      <c r="B84" s="2"/>
      <c r="C84" s="202" t="s">
        <v>471</v>
      </c>
      <c r="D84" s="73">
        <f>SUM(D85:D88)</f>
        <v>7377.8</v>
      </c>
      <c r="E84" s="73">
        <f>SUM(E85:E88)</f>
        <v>6216</v>
      </c>
      <c r="F84" s="73">
        <f>SUM(F85:F88)</f>
        <v>0</v>
      </c>
    </row>
    <row r="85" spans="1:6" s="65" customFormat="1" ht="47.25" hidden="1" x14ac:dyDescent="0.25">
      <c r="B85" s="2"/>
      <c r="C85" s="201" t="s">
        <v>472</v>
      </c>
      <c r="D85" s="73"/>
      <c r="E85" s="73">
        <v>0</v>
      </c>
      <c r="F85" s="73">
        <v>0</v>
      </c>
    </row>
    <row r="86" spans="1:6" s="65" customFormat="1" ht="31.5" hidden="1" x14ac:dyDescent="0.25">
      <c r="B86" s="2"/>
      <c r="C86" s="201" t="s">
        <v>473</v>
      </c>
      <c r="D86" s="73"/>
      <c r="E86" s="73">
        <v>0</v>
      </c>
      <c r="F86" s="73">
        <v>0</v>
      </c>
    </row>
    <row r="87" spans="1:6" s="65" customFormat="1" ht="47.25" x14ac:dyDescent="0.25">
      <c r="B87" s="2"/>
      <c r="C87" s="201" t="s">
        <v>474</v>
      </c>
      <c r="D87" s="73">
        <v>4937.8</v>
      </c>
      <c r="E87" s="292">
        <v>3837</v>
      </c>
      <c r="F87" s="292">
        <v>0</v>
      </c>
    </row>
    <row r="88" spans="1:6" s="65" customFormat="1" ht="31.5" x14ac:dyDescent="0.25">
      <c r="B88" s="2"/>
      <c r="C88" s="201" t="s">
        <v>562</v>
      </c>
      <c r="D88" s="73">
        <v>2440</v>
      </c>
      <c r="E88" s="73">
        <v>2379</v>
      </c>
      <c r="F88" s="73">
        <v>0</v>
      </c>
    </row>
    <row r="89" spans="1:6" s="65" customFormat="1" ht="32.25" customHeight="1" x14ac:dyDescent="0.25">
      <c r="B89" s="2"/>
      <c r="C89" s="3" t="s">
        <v>563</v>
      </c>
      <c r="D89" s="74">
        <v>0</v>
      </c>
      <c r="E89" s="74">
        <v>0</v>
      </c>
      <c r="F89" s="74">
        <v>0</v>
      </c>
    </row>
    <row r="90" spans="1:6" s="65" customFormat="1" ht="47.25" x14ac:dyDescent="0.25">
      <c r="B90" s="2"/>
      <c r="C90" s="300" t="s">
        <v>428</v>
      </c>
      <c r="D90" s="74">
        <v>0</v>
      </c>
      <c r="E90" s="74">
        <v>0</v>
      </c>
      <c r="F90" s="74">
        <v>0</v>
      </c>
    </row>
    <row r="91" spans="1:6" s="79" customFormat="1" ht="31.5" x14ac:dyDescent="0.25">
      <c r="B91" s="301" t="s">
        <v>38</v>
      </c>
      <c r="C91" s="57" t="s">
        <v>170</v>
      </c>
      <c r="D91" s="74">
        <v>-88.8</v>
      </c>
      <c r="E91" s="74">
        <v>-210</v>
      </c>
      <c r="F91" s="74">
        <v>0</v>
      </c>
    </row>
    <row r="92" spans="1:6" s="65" customFormat="1" x14ac:dyDescent="0.25">
      <c r="B92" s="3" t="s">
        <v>39</v>
      </c>
      <c r="C92" s="3"/>
      <c r="D92" s="75">
        <f>SUM(D4,D19)</f>
        <v>2127764.4000000004</v>
      </c>
      <c r="E92" s="75">
        <f>SUM(E4,E19)</f>
        <v>1955998.6</v>
      </c>
      <c r="F92" s="75">
        <f>SUM(F4,F19)</f>
        <v>1941733.0000000002</v>
      </c>
    </row>
    <row r="93" spans="1:6" s="65" customFormat="1" x14ac:dyDescent="0.25">
      <c r="F93" s="203"/>
    </row>
    <row r="94" spans="1:6" s="65" customFormat="1" ht="39" customHeight="1" x14ac:dyDescent="0.3">
      <c r="A94" s="79"/>
      <c r="B94" s="302"/>
      <c r="C94" s="319" t="s">
        <v>157</v>
      </c>
      <c r="D94" s="319"/>
      <c r="E94" s="319"/>
      <c r="F94" s="319"/>
    </row>
    <row r="95" spans="1:6" s="65" customFormat="1" x14ac:dyDescent="0.25">
      <c r="A95" s="79"/>
      <c r="B95" s="79"/>
      <c r="C95" s="79"/>
      <c r="D95" s="79"/>
      <c r="E95" s="80" t="s">
        <v>40</v>
      </c>
      <c r="F95" s="204"/>
    </row>
    <row r="96" spans="1:6" s="65" customFormat="1" ht="63" x14ac:dyDescent="0.25">
      <c r="A96" s="79"/>
      <c r="B96" s="79"/>
      <c r="C96" s="21" t="s">
        <v>156</v>
      </c>
      <c r="D96" s="67" t="s">
        <v>550</v>
      </c>
      <c r="E96" s="68" t="s">
        <v>565</v>
      </c>
      <c r="F96" s="67" t="s">
        <v>566</v>
      </c>
    </row>
    <row r="97" spans="1:6" s="65" customFormat="1" x14ac:dyDescent="0.25">
      <c r="A97" s="303" t="s">
        <v>44</v>
      </c>
      <c r="B97" s="303" t="s">
        <v>45</v>
      </c>
      <c r="C97" s="8" t="s">
        <v>43</v>
      </c>
      <c r="D97" s="81">
        <f>SUM(D98:D105)</f>
        <v>258873</v>
      </c>
      <c r="E97" s="81">
        <f>SUM(E98:E105)</f>
        <v>324508.30000000005</v>
      </c>
      <c r="F97" s="81">
        <f>SUM(F98:F105)</f>
        <v>282331.40000000002</v>
      </c>
    </row>
    <row r="98" spans="1:6" s="65" customFormat="1" ht="31.5" x14ac:dyDescent="0.25">
      <c r="A98" s="304" t="s">
        <v>44</v>
      </c>
      <c r="B98" s="304" t="s">
        <v>47</v>
      </c>
      <c r="C98" s="19" t="s">
        <v>46</v>
      </c>
      <c r="D98" s="82">
        <v>6435.6</v>
      </c>
      <c r="E98" s="82">
        <v>8391.6</v>
      </c>
      <c r="F98" s="82">
        <v>6142.1</v>
      </c>
    </row>
    <row r="99" spans="1:6" s="65" customFormat="1" ht="47.25" x14ac:dyDescent="0.25">
      <c r="A99" s="304" t="s">
        <v>44</v>
      </c>
      <c r="B99" s="304" t="s">
        <v>61</v>
      </c>
      <c r="C99" s="19" t="s">
        <v>109</v>
      </c>
      <c r="D99" s="82">
        <v>0</v>
      </c>
      <c r="E99" s="82">
        <v>0</v>
      </c>
      <c r="F99" s="82">
        <v>50</v>
      </c>
    </row>
    <row r="100" spans="1:6" s="65" customFormat="1" ht="47.25" x14ac:dyDescent="0.25">
      <c r="A100" s="304" t="s">
        <v>44</v>
      </c>
      <c r="B100" s="304" t="s">
        <v>51</v>
      </c>
      <c r="C100" s="19" t="s">
        <v>50</v>
      </c>
      <c r="D100" s="82">
        <v>81286.5</v>
      </c>
      <c r="E100" s="82">
        <v>90411.9</v>
      </c>
      <c r="F100" s="82">
        <v>80005.2</v>
      </c>
    </row>
    <row r="101" spans="1:6" s="65" customFormat="1" x14ac:dyDescent="0.25">
      <c r="A101" s="304" t="s">
        <v>44</v>
      </c>
      <c r="B101" s="304" t="s">
        <v>54</v>
      </c>
      <c r="C101" s="18" t="s">
        <v>53</v>
      </c>
      <c r="D101" s="82">
        <v>0</v>
      </c>
      <c r="E101" s="82">
        <v>22.1</v>
      </c>
      <c r="F101" s="82">
        <v>2.2000000000000002</v>
      </c>
    </row>
    <row r="102" spans="1:6" s="65" customFormat="1" ht="31.5" x14ac:dyDescent="0.25">
      <c r="A102" s="304" t="s">
        <v>44</v>
      </c>
      <c r="B102" s="304" t="s">
        <v>85</v>
      </c>
      <c r="C102" s="19" t="s">
        <v>84</v>
      </c>
      <c r="D102" s="82">
        <v>40148</v>
      </c>
      <c r="E102" s="82">
        <v>49693.7</v>
      </c>
      <c r="F102" s="82">
        <v>49238.7</v>
      </c>
    </row>
    <row r="103" spans="1:6" s="65" customFormat="1" x14ac:dyDescent="0.25">
      <c r="A103" s="304" t="s">
        <v>44</v>
      </c>
      <c r="B103" s="304" t="s">
        <v>94</v>
      </c>
      <c r="C103" s="19" t="s">
        <v>112</v>
      </c>
      <c r="D103" s="82">
        <v>5339.2</v>
      </c>
      <c r="E103" s="82">
        <v>6013.7</v>
      </c>
      <c r="F103" s="82">
        <v>0</v>
      </c>
    </row>
    <row r="104" spans="1:6" s="65" customFormat="1" x14ac:dyDescent="0.25">
      <c r="A104" s="304" t="s">
        <v>44</v>
      </c>
      <c r="B104" s="304" t="s">
        <v>87</v>
      </c>
      <c r="C104" s="19" t="s">
        <v>86</v>
      </c>
      <c r="D104" s="82">
        <v>0</v>
      </c>
      <c r="E104" s="82">
        <v>1428.7</v>
      </c>
      <c r="F104" s="82">
        <v>11078</v>
      </c>
    </row>
    <row r="105" spans="1:6" s="65" customFormat="1" x14ac:dyDescent="0.25">
      <c r="A105" s="304" t="s">
        <v>44</v>
      </c>
      <c r="B105" s="304" t="s">
        <v>58</v>
      </c>
      <c r="C105" s="19" t="s">
        <v>57</v>
      </c>
      <c r="D105" s="82">
        <v>125663.7</v>
      </c>
      <c r="E105" s="82">
        <v>168546.6</v>
      </c>
      <c r="F105" s="82">
        <v>135815.20000000001</v>
      </c>
    </row>
    <row r="106" spans="1:6" s="65" customFormat="1" x14ac:dyDescent="0.25">
      <c r="A106" s="303" t="s">
        <v>61</v>
      </c>
      <c r="B106" s="303" t="s">
        <v>45</v>
      </c>
      <c r="C106" s="58" t="s">
        <v>63</v>
      </c>
      <c r="D106" s="81">
        <f>SUM(D107:D111)</f>
        <v>11532.600000000002</v>
      </c>
      <c r="E106" s="81">
        <f>SUM(E107:E111)</f>
        <v>15878.3</v>
      </c>
      <c r="F106" s="81">
        <f>SUM(F107:F111)</f>
        <v>15814.5</v>
      </c>
    </row>
    <row r="107" spans="1:6" s="65" customFormat="1" x14ac:dyDescent="0.25">
      <c r="A107" s="304" t="s">
        <v>61</v>
      </c>
      <c r="B107" s="304" t="s">
        <v>51</v>
      </c>
      <c r="C107" s="18" t="s">
        <v>64</v>
      </c>
      <c r="D107" s="82">
        <v>2210</v>
      </c>
      <c r="E107" s="82">
        <v>2535.1999999999998</v>
      </c>
      <c r="F107" s="82">
        <v>2278.4</v>
      </c>
    </row>
    <row r="108" spans="1:6" s="65" customFormat="1" x14ac:dyDescent="0.25">
      <c r="A108" s="304" t="s">
        <v>61</v>
      </c>
      <c r="B108" s="304" t="s">
        <v>72</v>
      </c>
      <c r="C108" s="18" t="s">
        <v>532</v>
      </c>
      <c r="D108" s="82">
        <v>7072.6</v>
      </c>
      <c r="E108" s="82">
        <v>0</v>
      </c>
      <c r="F108" s="82">
        <v>0</v>
      </c>
    </row>
    <row r="109" spans="1:6" s="65" customFormat="1" hidden="1" x14ac:dyDescent="0.25">
      <c r="A109" s="304" t="s">
        <v>61</v>
      </c>
      <c r="B109" s="304" t="s">
        <v>66</v>
      </c>
      <c r="C109" s="18" t="s">
        <v>65</v>
      </c>
      <c r="D109" s="82"/>
      <c r="E109" s="82"/>
      <c r="F109" s="82">
        <v>0</v>
      </c>
    </row>
    <row r="110" spans="1:6" s="65" customFormat="1" ht="31.5" x14ac:dyDescent="0.25">
      <c r="A110" s="304"/>
      <c r="B110" s="304"/>
      <c r="C110" s="18" t="s">
        <v>538</v>
      </c>
      <c r="D110" s="82">
        <v>2140.3000000000002</v>
      </c>
      <c r="E110" s="82">
        <v>13233.1</v>
      </c>
      <c r="F110" s="82">
        <v>13426.1</v>
      </c>
    </row>
    <row r="111" spans="1:6" s="65" customFormat="1" ht="31.5" x14ac:dyDescent="0.25">
      <c r="A111" s="304" t="s">
        <v>61</v>
      </c>
      <c r="B111" s="304" t="s">
        <v>153</v>
      </c>
      <c r="C111" s="18" t="s">
        <v>67</v>
      </c>
      <c r="D111" s="82">
        <v>109.7</v>
      </c>
      <c r="E111" s="82">
        <v>110</v>
      </c>
      <c r="F111" s="82">
        <v>110</v>
      </c>
    </row>
    <row r="112" spans="1:6" s="65" customFormat="1" x14ac:dyDescent="0.25">
      <c r="A112" s="303" t="s">
        <v>51</v>
      </c>
      <c r="B112" s="303" t="s">
        <v>45</v>
      </c>
      <c r="C112" s="8" t="s">
        <v>68</v>
      </c>
      <c r="D112" s="81">
        <f>SUM(D113:D115)</f>
        <v>157987.6</v>
      </c>
      <c r="E112" s="81">
        <f>SUM(E113:E115)</f>
        <v>183719.2</v>
      </c>
      <c r="F112" s="81">
        <f>SUM(F113:F115)</f>
        <v>141499.79999999999</v>
      </c>
    </row>
    <row r="113" spans="1:6" s="65" customFormat="1" x14ac:dyDescent="0.25">
      <c r="A113" s="304" t="s">
        <v>51</v>
      </c>
      <c r="B113" s="304" t="s">
        <v>70</v>
      </c>
      <c r="C113" s="18" t="s">
        <v>69</v>
      </c>
      <c r="D113" s="82">
        <v>19674.7</v>
      </c>
      <c r="E113" s="192">
        <v>20816.099999999999</v>
      </c>
      <c r="F113" s="192">
        <v>30952.7</v>
      </c>
    </row>
    <row r="114" spans="1:6" s="65" customFormat="1" x14ac:dyDescent="0.25">
      <c r="A114" s="304" t="s">
        <v>51</v>
      </c>
      <c r="B114" s="304" t="s">
        <v>72</v>
      </c>
      <c r="C114" s="19" t="s">
        <v>71</v>
      </c>
      <c r="D114" s="82">
        <v>40426.800000000003</v>
      </c>
      <c r="E114" s="192">
        <v>39867.599999999999</v>
      </c>
      <c r="F114" s="192">
        <v>45718.1</v>
      </c>
    </row>
    <row r="115" spans="1:6" s="65" customFormat="1" x14ac:dyDescent="0.25">
      <c r="A115" s="304" t="s">
        <v>51</v>
      </c>
      <c r="B115" s="304" t="s">
        <v>74</v>
      </c>
      <c r="C115" s="18" t="s">
        <v>73</v>
      </c>
      <c r="D115" s="82">
        <v>97886.1</v>
      </c>
      <c r="E115" s="192">
        <v>123035.5</v>
      </c>
      <c r="F115" s="192">
        <v>64829</v>
      </c>
    </row>
    <row r="116" spans="1:6" s="65" customFormat="1" x14ac:dyDescent="0.25">
      <c r="A116" s="303" t="s">
        <v>54</v>
      </c>
      <c r="B116" s="303" t="s">
        <v>45</v>
      </c>
      <c r="C116" s="8" t="s">
        <v>75</v>
      </c>
      <c r="D116" s="81">
        <f>SUM(D117:D120)</f>
        <v>609528.19999999995</v>
      </c>
      <c r="E116" s="81">
        <f>SUM(E117:E120)</f>
        <v>313576.59999999998</v>
      </c>
      <c r="F116" s="81">
        <f>SUM(F117:F120)</f>
        <v>203800.3</v>
      </c>
    </row>
    <row r="117" spans="1:6" s="65" customFormat="1" x14ac:dyDescent="0.25">
      <c r="A117" s="304" t="s">
        <v>54</v>
      </c>
      <c r="B117" s="304" t="s">
        <v>44</v>
      </c>
      <c r="C117" s="19" t="s">
        <v>76</v>
      </c>
      <c r="D117" s="82">
        <v>31456.7</v>
      </c>
      <c r="E117" s="192">
        <v>103023.5</v>
      </c>
      <c r="F117" s="192">
        <v>54404.3</v>
      </c>
    </row>
    <row r="118" spans="1:6" s="65" customFormat="1" x14ac:dyDescent="0.25">
      <c r="A118" s="304" t="s">
        <v>54</v>
      </c>
      <c r="B118" s="304" t="s">
        <v>47</v>
      </c>
      <c r="C118" s="19" t="s">
        <v>77</v>
      </c>
      <c r="D118" s="82">
        <v>112832</v>
      </c>
      <c r="E118" s="192">
        <v>161861.1</v>
      </c>
      <c r="F118" s="192">
        <v>118694.2</v>
      </c>
    </row>
    <row r="119" spans="1:6" s="65" customFormat="1" x14ac:dyDescent="0.25">
      <c r="A119" s="304" t="s">
        <v>54</v>
      </c>
      <c r="B119" s="304" t="s">
        <v>61</v>
      </c>
      <c r="C119" s="19" t="s">
        <v>80</v>
      </c>
      <c r="D119" s="82">
        <v>41785.4</v>
      </c>
      <c r="E119" s="192">
        <v>31546.400000000001</v>
      </c>
      <c r="F119" s="192">
        <v>14333.9</v>
      </c>
    </row>
    <row r="120" spans="1:6" s="65" customFormat="1" x14ac:dyDescent="0.25">
      <c r="A120" s="304" t="s">
        <v>54</v>
      </c>
      <c r="B120" s="304" t="s">
        <v>54</v>
      </c>
      <c r="C120" s="19" t="s">
        <v>81</v>
      </c>
      <c r="D120" s="82">
        <v>423454.1</v>
      </c>
      <c r="E120" s="192">
        <v>17145.599999999999</v>
      </c>
      <c r="F120" s="192">
        <v>16367.9</v>
      </c>
    </row>
    <row r="121" spans="1:6" s="65" customFormat="1" x14ac:dyDescent="0.25">
      <c r="A121" s="303" t="s">
        <v>94</v>
      </c>
      <c r="B121" s="303" t="s">
        <v>45</v>
      </c>
      <c r="C121" s="8" t="s">
        <v>93</v>
      </c>
      <c r="D121" s="81">
        <f>SUM(D122:D126)</f>
        <v>830257.1</v>
      </c>
      <c r="E121" s="81">
        <f>SUM(E122:E126)</f>
        <v>948208.50000000012</v>
      </c>
      <c r="F121" s="81">
        <f>SUM(F122:F126)</f>
        <v>994144.8</v>
      </c>
    </row>
    <row r="122" spans="1:6" s="65" customFormat="1" x14ac:dyDescent="0.25">
      <c r="A122" s="304" t="s">
        <v>94</v>
      </c>
      <c r="B122" s="304" t="s">
        <v>44</v>
      </c>
      <c r="C122" s="19" t="s">
        <v>95</v>
      </c>
      <c r="D122" s="82">
        <v>84026.3</v>
      </c>
      <c r="E122" s="192">
        <v>95317.5</v>
      </c>
      <c r="F122" s="192">
        <v>102853.4</v>
      </c>
    </row>
    <row r="123" spans="1:6" s="65" customFormat="1" x14ac:dyDescent="0.25">
      <c r="A123" s="304" t="s">
        <v>94</v>
      </c>
      <c r="B123" s="304" t="s">
        <v>47</v>
      </c>
      <c r="C123" s="19" t="s">
        <v>96</v>
      </c>
      <c r="D123" s="82">
        <v>578195.69999999995</v>
      </c>
      <c r="E123" s="192">
        <v>639779.4</v>
      </c>
      <c r="F123" s="192">
        <v>676845.4</v>
      </c>
    </row>
    <row r="124" spans="1:6" s="65" customFormat="1" x14ac:dyDescent="0.25">
      <c r="A124" s="304" t="s">
        <v>94</v>
      </c>
      <c r="B124" s="304" t="s">
        <v>61</v>
      </c>
      <c r="C124" s="19" t="s">
        <v>154</v>
      </c>
      <c r="D124" s="82">
        <v>104054.7</v>
      </c>
      <c r="E124" s="192">
        <v>147196.5</v>
      </c>
      <c r="F124" s="192">
        <v>158221.9</v>
      </c>
    </row>
    <row r="125" spans="1:6" s="65" customFormat="1" x14ac:dyDescent="0.25">
      <c r="A125" s="304" t="s">
        <v>94</v>
      </c>
      <c r="B125" s="304" t="s">
        <v>94</v>
      </c>
      <c r="C125" s="19" t="s">
        <v>429</v>
      </c>
      <c r="D125" s="82">
        <v>11873.1</v>
      </c>
      <c r="E125" s="192">
        <v>18894.3</v>
      </c>
      <c r="F125" s="192">
        <v>18227.400000000001</v>
      </c>
    </row>
    <row r="126" spans="1:6" s="65" customFormat="1" x14ac:dyDescent="0.25">
      <c r="A126" s="304" t="s">
        <v>94</v>
      </c>
      <c r="B126" s="304" t="s">
        <v>72</v>
      </c>
      <c r="C126" s="19" t="s">
        <v>97</v>
      </c>
      <c r="D126" s="82">
        <v>52107.3</v>
      </c>
      <c r="E126" s="192">
        <v>47020.799999999996</v>
      </c>
      <c r="F126" s="192">
        <v>37996.699999999997</v>
      </c>
    </row>
    <row r="127" spans="1:6" s="65" customFormat="1" x14ac:dyDescent="0.25">
      <c r="A127" s="303" t="s">
        <v>70</v>
      </c>
      <c r="B127" s="303" t="s">
        <v>45</v>
      </c>
      <c r="C127" s="8" t="s">
        <v>98</v>
      </c>
      <c r="D127" s="81">
        <f>SUM(D128:D130)</f>
        <v>137273</v>
      </c>
      <c r="E127" s="81">
        <f>SUM(E128)</f>
        <v>179137.4</v>
      </c>
      <c r="F127" s="81">
        <f>SUM(F128)</f>
        <v>191355.3</v>
      </c>
    </row>
    <row r="128" spans="1:6" s="65" customFormat="1" x14ac:dyDescent="0.25">
      <c r="A128" s="304" t="s">
        <v>70</v>
      </c>
      <c r="B128" s="304" t="s">
        <v>44</v>
      </c>
      <c r="C128" s="19" t="s">
        <v>99</v>
      </c>
      <c r="D128" s="82">
        <v>137273</v>
      </c>
      <c r="E128" s="82">
        <v>179137.4</v>
      </c>
      <c r="F128" s="82">
        <v>191355.3</v>
      </c>
    </row>
    <row r="129" spans="1:6" s="65" customFormat="1" x14ac:dyDescent="0.25">
      <c r="A129" s="304"/>
      <c r="B129" s="304"/>
      <c r="C129" s="58" t="s">
        <v>361</v>
      </c>
      <c r="D129" s="81">
        <f>SUM(D130)</f>
        <v>0</v>
      </c>
      <c r="E129" s="81">
        <f>SUM(E130)</f>
        <v>0</v>
      </c>
      <c r="F129" s="81">
        <f>SUM(F130)</f>
        <v>0</v>
      </c>
    </row>
    <row r="130" spans="1:6" s="65" customFormat="1" x14ac:dyDescent="0.25">
      <c r="A130" s="304"/>
      <c r="B130" s="304"/>
      <c r="C130" s="19" t="s">
        <v>362</v>
      </c>
      <c r="D130" s="82">
        <v>0</v>
      </c>
      <c r="E130" s="82">
        <v>0</v>
      </c>
      <c r="F130" s="82">
        <v>0</v>
      </c>
    </row>
    <row r="131" spans="1:6" s="65" customFormat="1" x14ac:dyDescent="0.25">
      <c r="A131" s="303" t="s">
        <v>66</v>
      </c>
      <c r="B131" s="303" t="s">
        <v>45</v>
      </c>
      <c r="C131" s="13" t="s">
        <v>82</v>
      </c>
      <c r="D131" s="81">
        <f>SUM(D132:D135)</f>
        <v>37817.9</v>
      </c>
      <c r="E131" s="81">
        <f>SUM(E132:E135)</f>
        <v>46614.8</v>
      </c>
      <c r="F131" s="81">
        <f>SUM(F132:F135)</f>
        <v>40587.9</v>
      </c>
    </row>
    <row r="132" spans="1:6" s="65" customFormat="1" x14ac:dyDescent="0.25">
      <c r="A132" s="304" t="s">
        <v>66</v>
      </c>
      <c r="B132" s="304" t="s">
        <v>44</v>
      </c>
      <c r="C132" s="19" t="s">
        <v>91</v>
      </c>
      <c r="D132" s="82">
        <v>10364.799999999999</v>
      </c>
      <c r="E132" s="192">
        <v>11626.3</v>
      </c>
      <c r="F132" s="192">
        <v>12560.4</v>
      </c>
    </row>
    <row r="133" spans="1:6" s="65" customFormat="1" x14ac:dyDescent="0.25">
      <c r="A133" s="304" t="s">
        <v>66</v>
      </c>
      <c r="B133" s="304" t="s">
        <v>61</v>
      </c>
      <c r="C133" s="9" t="s">
        <v>83</v>
      </c>
      <c r="D133" s="82">
        <v>2247.1</v>
      </c>
      <c r="E133" s="192">
        <v>2300</v>
      </c>
      <c r="F133" s="192">
        <v>0</v>
      </c>
    </row>
    <row r="134" spans="1:6" s="65" customFormat="1" x14ac:dyDescent="0.25">
      <c r="A134" s="304" t="s">
        <v>66</v>
      </c>
      <c r="B134" s="304" t="s">
        <v>51</v>
      </c>
      <c r="C134" s="18" t="s">
        <v>100</v>
      </c>
      <c r="D134" s="82">
        <v>2422.3000000000002</v>
      </c>
      <c r="E134" s="192">
        <v>3652</v>
      </c>
      <c r="F134" s="192">
        <v>11256.6</v>
      </c>
    </row>
    <row r="135" spans="1:6" s="65" customFormat="1" x14ac:dyDescent="0.25">
      <c r="A135" s="304" t="s">
        <v>66</v>
      </c>
      <c r="B135" s="304" t="s">
        <v>85</v>
      </c>
      <c r="C135" s="19" t="s">
        <v>101</v>
      </c>
      <c r="D135" s="82">
        <v>22783.7</v>
      </c>
      <c r="E135" s="192">
        <v>29036.5</v>
      </c>
      <c r="F135" s="192">
        <v>16770.900000000001</v>
      </c>
    </row>
    <row r="136" spans="1:6" s="65" customFormat="1" x14ac:dyDescent="0.25">
      <c r="A136" s="303" t="s">
        <v>87</v>
      </c>
      <c r="B136" s="303" t="s">
        <v>45</v>
      </c>
      <c r="C136" s="8" t="s">
        <v>103</v>
      </c>
      <c r="D136" s="81">
        <f>SUM(D137:D138)</f>
        <v>47993.4</v>
      </c>
      <c r="E136" s="81">
        <f>SUM(E137:E138)</f>
        <v>49708.2</v>
      </c>
      <c r="F136" s="81">
        <f>SUM(F137:F138)</f>
        <v>41073</v>
      </c>
    </row>
    <row r="137" spans="1:6" s="65" customFormat="1" x14ac:dyDescent="0.25">
      <c r="A137" s="304" t="s">
        <v>87</v>
      </c>
      <c r="B137" s="304" t="s">
        <v>44</v>
      </c>
      <c r="C137" s="19" t="s">
        <v>104</v>
      </c>
      <c r="D137" s="82">
        <v>30597.5</v>
      </c>
      <c r="E137" s="192">
        <v>32198.6</v>
      </c>
      <c r="F137" s="192">
        <v>37936.699999999997</v>
      </c>
    </row>
    <row r="138" spans="1:6" s="65" customFormat="1" x14ac:dyDescent="0.25">
      <c r="A138" s="304" t="s">
        <v>87</v>
      </c>
      <c r="B138" s="304" t="s">
        <v>47</v>
      </c>
      <c r="C138" s="19" t="s">
        <v>107</v>
      </c>
      <c r="D138" s="82">
        <v>17395.900000000001</v>
      </c>
      <c r="E138" s="192">
        <v>17509.599999999999</v>
      </c>
      <c r="F138" s="192">
        <v>3136.3</v>
      </c>
    </row>
    <row r="139" spans="1:6" s="65" customFormat="1" x14ac:dyDescent="0.25">
      <c r="A139" s="304"/>
      <c r="B139" s="304"/>
      <c r="C139" s="219" t="s">
        <v>475</v>
      </c>
      <c r="D139" s="81">
        <f>SUM(D140)</f>
        <v>20.2</v>
      </c>
      <c r="E139" s="81">
        <f>SUM(E140)</f>
        <v>18.5</v>
      </c>
      <c r="F139" s="81">
        <f>SUM(F140)</f>
        <v>26</v>
      </c>
    </row>
    <row r="140" spans="1:6" s="65" customFormat="1" ht="16.5" customHeight="1" x14ac:dyDescent="0.25">
      <c r="A140" s="304"/>
      <c r="B140" s="304"/>
      <c r="C140" s="19" t="s">
        <v>476</v>
      </c>
      <c r="D140" s="82">
        <v>20.2</v>
      </c>
      <c r="E140" s="192">
        <v>18.5</v>
      </c>
      <c r="F140" s="192">
        <v>26</v>
      </c>
    </row>
    <row r="141" spans="1:6" s="65" customFormat="1" x14ac:dyDescent="0.25">
      <c r="A141" s="304"/>
      <c r="B141" s="304"/>
      <c r="C141" s="8" t="s">
        <v>155</v>
      </c>
      <c r="D141" s="86">
        <f>D97+D106+D112+D116+D121+D127+D129+D131+D136+D139</f>
        <v>2091282.9999999998</v>
      </c>
      <c r="E141" s="86">
        <f>E97+E106+E112+E116+E121+E127+E129+E131+E136+E139</f>
        <v>2061369.8</v>
      </c>
      <c r="F141" s="86">
        <f>F97+F106+F112+F116+F121+F127+F129+F131+F136+F139</f>
        <v>1910633</v>
      </c>
    </row>
    <row r="142" spans="1:6" x14ac:dyDescent="0.25">
      <c r="C142" s="65"/>
      <c r="D142" s="23"/>
      <c r="E142" s="65"/>
      <c r="F142" s="203"/>
    </row>
    <row r="143" spans="1:6" ht="18.75" customHeight="1" x14ac:dyDescent="0.25">
      <c r="C143" s="320" t="s">
        <v>171</v>
      </c>
      <c r="D143" s="320"/>
      <c r="E143" s="320"/>
      <c r="F143" s="320"/>
    </row>
    <row r="144" spans="1:6" x14ac:dyDescent="0.25">
      <c r="C144" s="65"/>
      <c r="D144" s="65"/>
      <c r="E144" s="80" t="s">
        <v>40</v>
      </c>
      <c r="F144" s="203"/>
    </row>
    <row r="145" spans="2:6" ht="63" x14ac:dyDescent="0.25">
      <c r="C145" s="21" t="s">
        <v>156</v>
      </c>
      <c r="D145" s="67" t="s">
        <v>550</v>
      </c>
      <c r="E145" s="68" t="s">
        <v>565</v>
      </c>
      <c r="F145" s="67" t="s">
        <v>566</v>
      </c>
    </row>
    <row r="146" spans="2:6" ht="31.5" customHeight="1" x14ac:dyDescent="0.25">
      <c r="B146" s="17" t="s">
        <v>178</v>
      </c>
      <c r="C146" s="57" t="s">
        <v>172</v>
      </c>
      <c r="D146" s="83">
        <f>SUM(D147,D150)</f>
        <v>-36481.400000000605</v>
      </c>
      <c r="E146" s="83">
        <f>SUM(E147,E150)</f>
        <v>105371.19999999995</v>
      </c>
      <c r="F146" s="83">
        <f>SUM(F147,F150)</f>
        <v>-31100</v>
      </c>
    </row>
    <row r="147" spans="2:6" ht="31.5" customHeight="1" x14ac:dyDescent="0.25">
      <c r="B147" s="17" t="s">
        <v>179</v>
      </c>
      <c r="C147" s="57" t="s">
        <v>173</v>
      </c>
      <c r="D147" s="83">
        <f>SUM(D148,D149)</f>
        <v>8500</v>
      </c>
      <c r="E147" s="83">
        <f>SUM(E148,E149)</f>
        <v>3100</v>
      </c>
      <c r="F147" s="83">
        <f>SUM(F148,F149)</f>
        <v>-31100</v>
      </c>
    </row>
    <row r="148" spans="2:6" ht="53.25" customHeight="1" x14ac:dyDescent="0.25">
      <c r="B148" s="22" t="s">
        <v>180</v>
      </c>
      <c r="C148" s="84" t="s">
        <v>564</v>
      </c>
      <c r="D148" s="85">
        <v>8500</v>
      </c>
      <c r="E148" s="85">
        <v>22600</v>
      </c>
      <c r="F148" s="85">
        <v>0</v>
      </c>
    </row>
    <row r="149" spans="2:6" ht="47.25" x14ac:dyDescent="0.25">
      <c r="B149" s="22" t="s">
        <v>181</v>
      </c>
      <c r="C149" s="84" t="s">
        <v>174</v>
      </c>
      <c r="D149" s="85">
        <v>0</v>
      </c>
      <c r="E149" s="85">
        <v>-19500</v>
      </c>
      <c r="F149" s="85">
        <v>-31100</v>
      </c>
    </row>
    <row r="150" spans="2:6" ht="19.5" customHeight="1" x14ac:dyDescent="0.25">
      <c r="B150" s="17" t="s">
        <v>182</v>
      </c>
      <c r="C150" s="57" t="s">
        <v>175</v>
      </c>
      <c r="D150" s="86">
        <f>SUM(D151,D152)</f>
        <v>-44981.400000000605</v>
      </c>
      <c r="E150" s="86">
        <f>SUM(E151,E152)</f>
        <v>102271.19999999995</v>
      </c>
      <c r="F150" s="86">
        <f>SUM(F151,F152)</f>
        <v>0</v>
      </c>
    </row>
    <row r="151" spans="2:6" ht="19.5" customHeight="1" x14ac:dyDescent="0.25">
      <c r="B151" s="17" t="s">
        <v>183</v>
      </c>
      <c r="C151" s="78" t="s">
        <v>176</v>
      </c>
      <c r="D151" s="87">
        <f>-D92-D148</f>
        <v>-2136264.4000000004</v>
      </c>
      <c r="E151" s="87">
        <f>-E92-E148</f>
        <v>-1978598.6</v>
      </c>
      <c r="F151" s="87">
        <f>-F92-F148</f>
        <v>-1941733.0000000002</v>
      </c>
    </row>
    <row r="152" spans="2:6" ht="20.25" customHeight="1" x14ac:dyDescent="0.25">
      <c r="B152" s="17" t="s">
        <v>184</v>
      </c>
      <c r="C152" s="78" t="s">
        <v>177</v>
      </c>
      <c r="D152" s="87">
        <f>D141-D149</f>
        <v>2091282.9999999998</v>
      </c>
      <c r="E152" s="87">
        <f>E141-E149</f>
        <v>2080869.8</v>
      </c>
      <c r="F152" s="87">
        <f>F141-F149</f>
        <v>1941733</v>
      </c>
    </row>
    <row r="153" spans="2:6" ht="15.75" customHeight="1" x14ac:dyDescent="0.25"/>
    <row r="154" spans="2:6" x14ac:dyDescent="0.25">
      <c r="C154" s="20"/>
    </row>
  </sheetData>
  <mergeCells count="3">
    <mergeCell ref="C1:F1"/>
    <mergeCell ref="C94:F94"/>
    <mergeCell ref="C143:F143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showZeros="0" zoomScaleNormal="100" workbookViewId="0">
      <selection activeCell="C18" sqref="C18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3" width="14.140625" customWidth="1"/>
    <col min="4" max="248" width="9.140625" customWidth="1"/>
    <col min="249" max="249" width="90" customWidth="1"/>
    <col min="250" max="250" width="16.140625" customWidth="1"/>
  </cols>
  <sheetData>
    <row r="1" spans="1:3" ht="54.75" customHeight="1" x14ac:dyDescent="0.25">
      <c r="A1" s="321" t="s">
        <v>574</v>
      </c>
      <c r="B1" s="321"/>
      <c r="C1" s="321"/>
    </row>
    <row r="2" spans="1:3" x14ac:dyDescent="0.25">
      <c r="C2" s="200" t="s">
        <v>40</v>
      </c>
    </row>
    <row r="3" spans="1:3" ht="31.5" x14ac:dyDescent="0.25">
      <c r="A3" s="11" t="s">
        <v>41</v>
      </c>
      <c r="B3" s="12" t="s">
        <v>42</v>
      </c>
      <c r="C3" s="68" t="s">
        <v>566</v>
      </c>
    </row>
    <row r="4" spans="1:3" ht="15.75" x14ac:dyDescent="0.25">
      <c r="A4" s="4" t="s">
        <v>117</v>
      </c>
      <c r="B4" s="5"/>
      <c r="C4" s="198">
        <f>SUM(C5,C33)</f>
        <v>1910633.0000000002</v>
      </c>
    </row>
    <row r="5" spans="1:3" ht="15.75" x14ac:dyDescent="0.25">
      <c r="A5" s="4" t="s">
        <v>118</v>
      </c>
      <c r="B5" s="6"/>
      <c r="C5" s="198">
        <f>SUM(C6,C7,C10,C13,C16,C19,C23,C24,C28,C31)</f>
        <v>1580135.7000000002</v>
      </c>
    </row>
    <row r="6" spans="1:3" ht="47.25" x14ac:dyDescent="0.25">
      <c r="A6" s="8" t="s">
        <v>539</v>
      </c>
      <c r="B6" s="15" t="s">
        <v>44</v>
      </c>
      <c r="C6" s="198">
        <v>10</v>
      </c>
    </row>
    <row r="7" spans="1:3" ht="31.5" x14ac:dyDescent="0.25">
      <c r="A7" s="8" t="s">
        <v>540</v>
      </c>
      <c r="B7" s="15" t="s">
        <v>47</v>
      </c>
      <c r="C7" s="198">
        <f>SUM(C8:C9)</f>
        <v>1185711.6000000001</v>
      </c>
    </row>
    <row r="8" spans="1:3" s="7" customFormat="1" ht="31.5" x14ac:dyDescent="0.25">
      <c r="A8" s="59" t="s">
        <v>119</v>
      </c>
      <c r="B8" s="60" t="s">
        <v>120</v>
      </c>
      <c r="C8" s="199">
        <v>897513.7</v>
      </c>
    </row>
    <row r="9" spans="1:3" s="7" customFormat="1" ht="31.5" x14ac:dyDescent="0.25">
      <c r="A9" s="59" t="s">
        <v>106</v>
      </c>
      <c r="B9" s="60" t="s">
        <v>121</v>
      </c>
      <c r="C9" s="199">
        <v>288197.90000000002</v>
      </c>
    </row>
    <row r="10" spans="1:3" ht="33" customHeight="1" x14ac:dyDescent="0.25">
      <c r="A10" s="8" t="s">
        <v>541</v>
      </c>
      <c r="B10" s="15" t="s">
        <v>61</v>
      </c>
      <c r="C10" s="198">
        <f>SUM(C11:C12)</f>
        <v>6587.9</v>
      </c>
    </row>
    <row r="11" spans="1:3" s="7" customFormat="1" ht="15.75" x14ac:dyDescent="0.25">
      <c r="A11" s="59" t="s">
        <v>88</v>
      </c>
      <c r="B11" s="60" t="s">
        <v>122</v>
      </c>
      <c r="C11" s="197">
        <v>1185.5999999999999</v>
      </c>
    </row>
    <row r="12" spans="1:3" s="7" customFormat="1" ht="31.5" x14ac:dyDescent="0.25">
      <c r="A12" s="59" t="s">
        <v>542</v>
      </c>
      <c r="B12" s="60"/>
      <c r="C12" s="197">
        <v>5402.3</v>
      </c>
    </row>
    <row r="13" spans="1:3" ht="31.5" x14ac:dyDescent="0.25">
      <c r="A13" s="8" t="s">
        <v>543</v>
      </c>
      <c r="B13" s="15" t="s">
        <v>51</v>
      </c>
      <c r="C13" s="198">
        <f>SUM(C14:C15)</f>
        <v>41073</v>
      </c>
    </row>
    <row r="14" spans="1:3" s="7" customFormat="1" ht="15.75" x14ac:dyDescent="0.25">
      <c r="A14" s="59" t="s">
        <v>105</v>
      </c>
      <c r="B14" s="60" t="s">
        <v>123</v>
      </c>
      <c r="C14" s="199">
        <v>9533</v>
      </c>
    </row>
    <row r="15" spans="1:3" s="7" customFormat="1" ht="31.5" x14ac:dyDescent="0.25">
      <c r="A15" s="59" t="s">
        <v>106</v>
      </c>
      <c r="B15" s="60" t="s">
        <v>124</v>
      </c>
      <c r="C15" s="199">
        <v>31540</v>
      </c>
    </row>
    <row r="16" spans="1:3" ht="31.5" x14ac:dyDescent="0.25">
      <c r="A16" s="8" t="s">
        <v>544</v>
      </c>
      <c r="B16" s="15" t="s">
        <v>54</v>
      </c>
      <c r="C16" s="198">
        <f>SUM(C17:C18)</f>
        <v>113709.3</v>
      </c>
    </row>
    <row r="17" spans="1:3" s="7" customFormat="1" ht="15.75" x14ac:dyDescent="0.25">
      <c r="A17" s="59" t="s">
        <v>78</v>
      </c>
      <c r="B17" s="60" t="s">
        <v>125</v>
      </c>
      <c r="C17" s="199">
        <v>17160</v>
      </c>
    </row>
    <row r="18" spans="1:3" s="7" customFormat="1" ht="15.75" customHeight="1" x14ac:dyDescent="0.25">
      <c r="A18" s="59" t="s">
        <v>79</v>
      </c>
      <c r="B18" s="60" t="s">
        <v>126</v>
      </c>
      <c r="C18" s="199">
        <v>96549.3</v>
      </c>
    </row>
    <row r="19" spans="1:3" ht="31.5" x14ac:dyDescent="0.25">
      <c r="A19" s="8" t="s">
        <v>545</v>
      </c>
      <c r="B19" s="15" t="s">
        <v>85</v>
      </c>
      <c r="C19" s="198">
        <f>SUM(C20:C22)</f>
        <v>48906.600000000006</v>
      </c>
    </row>
    <row r="20" spans="1:3" s="7" customFormat="1" ht="15.75" x14ac:dyDescent="0.25">
      <c r="A20" s="59" t="s">
        <v>575</v>
      </c>
      <c r="B20" s="60" t="s">
        <v>127</v>
      </c>
      <c r="C20" s="199">
        <v>23024.400000000001</v>
      </c>
    </row>
    <row r="21" spans="1:3" s="7" customFormat="1" ht="31.5" x14ac:dyDescent="0.25">
      <c r="A21" s="59" t="s">
        <v>576</v>
      </c>
      <c r="B21" s="60" t="s">
        <v>128</v>
      </c>
      <c r="C21" s="199">
        <v>17953.900000000001</v>
      </c>
    </row>
    <row r="22" spans="1:3" s="7" customFormat="1" ht="15.75" x14ac:dyDescent="0.25">
      <c r="A22" s="59" t="s">
        <v>577</v>
      </c>
      <c r="B22" s="60" t="s">
        <v>129</v>
      </c>
      <c r="C22" s="199">
        <v>7928.3</v>
      </c>
    </row>
    <row r="23" spans="1:3" ht="31.5" x14ac:dyDescent="0.25">
      <c r="A23" s="8" t="s">
        <v>546</v>
      </c>
      <c r="B23" s="15" t="s">
        <v>94</v>
      </c>
      <c r="C23" s="198">
        <v>120855.2</v>
      </c>
    </row>
    <row r="24" spans="1:3" ht="31.5" x14ac:dyDescent="0.25">
      <c r="A24" s="8" t="s">
        <v>547</v>
      </c>
      <c r="B24" s="15" t="s">
        <v>70</v>
      </c>
      <c r="C24" s="198">
        <f>SUM(C25:C27)</f>
        <v>58032.1</v>
      </c>
    </row>
    <row r="25" spans="1:3" s="7" customFormat="1" ht="36.75" customHeight="1" x14ac:dyDescent="0.25">
      <c r="A25" s="193" t="s">
        <v>89</v>
      </c>
      <c r="B25" s="194" t="s">
        <v>130</v>
      </c>
      <c r="C25" s="199">
        <v>7982</v>
      </c>
    </row>
    <row r="26" spans="1:3" s="7" customFormat="1" ht="31.5" x14ac:dyDescent="0.25">
      <c r="A26" s="59" t="s">
        <v>363</v>
      </c>
      <c r="B26" s="194" t="s">
        <v>131</v>
      </c>
      <c r="C26" s="199">
        <v>50050.1</v>
      </c>
    </row>
    <row r="27" spans="1:3" s="7" customFormat="1" ht="21" hidden="1" customHeight="1" x14ac:dyDescent="0.25">
      <c r="A27" s="193" t="s">
        <v>90</v>
      </c>
      <c r="B27" s="194" t="s">
        <v>132</v>
      </c>
      <c r="C27" s="199">
        <v>0</v>
      </c>
    </row>
    <row r="28" spans="1:3" ht="17.25" customHeight="1" x14ac:dyDescent="0.25">
      <c r="A28" s="13" t="s">
        <v>548</v>
      </c>
      <c r="B28" s="15" t="s">
        <v>72</v>
      </c>
      <c r="C28" s="198">
        <f>SUM(C29:C30)</f>
        <v>5150</v>
      </c>
    </row>
    <row r="29" spans="1:3" s="16" customFormat="1" ht="31.5" x14ac:dyDescent="0.25">
      <c r="A29" s="59" t="s">
        <v>364</v>
      </c>
      <c r="B29" s="15"/>
      <c r="C29" s="199">
        <v>3625</v>
      </c>
    </row>
    <row r="30" spans="1:3" s="16" customFormat="1" ht="47.25" x14ac:dyDescent="0.25">
      <c r="A30" s="59" t="s">
        <v>365</v>
      </c>
      <c r="B30" s="15"/>
      <c r="C30" s="199">
        <v>1525</v>
      </c>
    </row>
    <row r="31" spans="1:3" s="16" customFormat="1" ht="31.5" customHeight="1" x14ac:dyDescent="0.25">
      <c r="A31" s="13" t="s">
        <v>549</v>
      </c>
      <c r="B31" s="15"/>
      <c r="C31" s="293">
        <f>C32</f>
        <v>100</v>
      </c>
    </row>
    <row r="32" spans="1:3" s="16" customFormat="1" ht="31.5" x14ac:dyDescent="0.25">
      <c r="A32" s="59" t="s">
        <v>366</v>
      </c>
      <c r="B32" s="15"/>
      <c r="C32" s="199">
        <v>100</v>
      </c>
    </row>
    <row r="33" spans="1:3" s="14" customFormat="1" ht="15.75" x14ac:dyDescent="0.25">
      <c r="A33" s="62" t="s">
        <v>133</v>
      </c>
      <c r="B33" s="15"/>
      <c r="C33" s="198">
        <f>SUM(C34,C38,C41,C44,C46,C49)</f>
        <v>330497.3</v>
      </c>
    </row>
    <row r="34" spans="1:3" ht="31.5" x14ac:dyDescent="0.25">
      <c r="A34" s="8" t="s">
        <v>48</v>
      </c>
      <c r="B34" s="15" t="s">
        <v>134</v>
      </c>
      <c r="C34" s="198">
        <f>SUM(C35:C36)</f>
        <v>86997</v>
      </c>
    </row>
    <row r="35" spans="1:3" s="7" customFormat="1" ht="15.75" x14ac:dyDescent="0.25">
      <c r="A35" s="9" t="s">
        <v>49</v>
      </c>
      <c r="B35" s="61" t="s">
        <v>135</v>
      </c>
      <c r="C35" s="197">
        <v>6142.1</v>
      </c>
    </row>
    <row r="36" spans="1:3" s="7" customFormat="1" ht="15.75" x14ac:dyDescent="0.25">
      <c r="A36" s="9" t="s">
        <v>52</v>
      </c>
      <c r="B36" s="61" t="s">
        <v>137</v>
      </c>
      <c r="C36" s="197">
        <v>80854.899999999994</v>
      </c>
    </row>
    <row r="37" spans="1:3" ht="47.25" hidden="1" x14ac:dyDescent="0.25">
      <c r="A37" s="63" t="s">
        <v>138</v>
      </c>
      <c r="B37" s="61" t="s">
        <v>62</v>
      </c>
      <c r="C37" s="197"/>
    </row>
    <row r="38" spans="1:3" ht="31.5" x14ac:dyDescent="0.25">
      <c r="A38" s="8" t="s">
        <v>59</v>
      </c>
      <c r="B38" s="15" t="s">
        <v>139</v>
      </c>
      <c r="C38" s="198">
        <f>SUM(C39:C40)</f>
        <v>204884.5</v>
      </c>
    </row>
    <row r="39" spans="1:3" s="7" customFormat="1" ht="31.5" x14ac:dyDescent="0.25">
      <c r="A39" s="9" t="s">
        <v>60</v>
      </c>
      <c r="B39" s="61" t="s">
        <v>140</v>
      </c>
      <c r="C39" s="197">
        <v>73880.899999999994</v>
      </c>
    </row>
    <row r="40" spans="1:3" s="7" customFormat="1" ht="15.75" x14ac:dyDescent="0.25">
      <c r="A40" s="9" t="s">
        <v>102</v>
      </c>
      <c r="B40" s="61" t="s">
        <v>141</v>
      </c>
      <c r="C40" s="197">
        <v>131003.6</v>
      </c>
    </row>
    <row r="41" spans="1:3" ht="15.75" x14ac:dyDescent="0.25">
      <c r="A41" s="8" t="s">
        <v>55</v>
      </c>
      <c r="B41" s="15" t="s">
        <v>142</v>
      </c>
      <c r="C41" s="198">
        <f>SUM(C42:C43)</f>
        <v>32742.699999999997</v>
      </c>
    </row>
    <row r="42" spans="1:3" s="7" customFormat="1" ht="15.75" x14ac:dyDescent="0.25">
      <c r="A42" s="9" t="s">
        <v>56</v>
      </c>
      <c r="B42" s="61" t="s">
        <v>143</v>
      </c>
      <c r="C42" s="197">
        <v>20182.3</v>
      </c>
    </row>
    <row r="43" spans="1:3" s="14" customFormat="1" ht="15.75" x14ac:dyDescent="0.25">
      <c r="A43" s="9" t="s">
        <v>92</v>
      </c>
      <c r="B43" s="61" t="s">
        <v>144</v>
      </c>
      <c r="C43" s="197">
        <v>12560.4</v>
      </c>
    </row>
    <row r="44" spans="1:3" ht="15.75" x14ac:dyDescent="0.25">
      <c r="A44" s="8" t="s">
        <v>108</v>
      </c>
      <c r="B44" s="15" t="s">
        <v>145</v>
      </c>
      <c r="C44" s="198">
        <f>SUM(C45)</f>
        <v>50</v>
      </c>
    </row>
    <row r="45" spans="1:3" s="7" customFormat="1" ht="15.75" x14ac:dyDescent="0.25">
      <c r="A45" s="9" t="s">
        <v>110</v>
      </c>
      <c r="B45" s="61" t="s">
        <v>146</v>
      </c>
      <c r="C45" s="197">
        <v>50</v>
      </c>
    </row>
    <row r="46" spans="1:3" ht="15.75" hidden="1" x14ac:dyDescent="0.25">
      <c r="A46" s="8" t="s">
        <v>111</v>
      </c>
      <c r="B46" s="15" t="s">
        <v>147</v>
      </c>
      <c r="C46" s="198">
        <f>SUM(C47:C48)</f>
        <v>0</v>
      </c>
    </row>
    <row r="47" spans="1:3" s="7" customFormat="1" ht="16.5" hidden="1" customHeight="1" x14ac:dyDescent="0.25">
      <c r="A47" s="9" t="s">
        <v>113</v>
      </c>
      <c r="B47" s="61" t="s">
        <v>148</v>
      </c>
      <c r="C47" s="197">
        <v>0</v>
      </c>
    </row>
    <row r="48" spans="1:3" s="7" customFormat="1" ht="16.5" hidden="1" customHeight="1" x14ac:dyDescent="0.25">
      <c r="A48" s="9" t="s">
        <v>477</v>
      </c>
      <c r="B48" s="61"/>
      <c r="C48" s="197">
        <v>0</v>
      </c>
    </row>
    <row r="49" spans="1:3" ht="15.75" x14ac:dyDescent="0.25">
      <c r="A49" s="8" t="s">
        <v>114</v>
      </c>
      <c r="B49" s="15" t="s">
        <v>149</v>
      </c>
      <c r="C49" s="198">
        <f>SUM(C50)</f>
        <v>5823.1</v>
      </c>
    </row>
    <row r="50" spans="1:3" s="7" customFormat="1" ht="31.5" x14ac:dyDescent="0.25">
      <c r="A50" s="9" t="s">
        <v>115</v>
      </c>
      <c r="B50" s="61" t="s">
        <v>150</v>
      </c>
      <c r="C50" s="197">
        <v>5823.1</v>
      </c>
    </row>
    <row r="51" spans="1:3" ht="96" hidden="1" customHeight="1" x14ac:dyDescent="0.25">
      <c r="A51" s="195" t="s">
        <v>136</v>
      </c>
      <c r="B51" s="196" t="s">
        <v>116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39"/>
  <sheetViews>
    <sheetView view="pageBreakPreview" zoomScaleNormal="100" zoomScaleSheetLayoutView="100" workbookViewId="0">
      <pane xSplit="2" ySplit="5" topLeftCell="C36" activePane="bottomRight" state="frozen"/>
      <selection pane="topRight" activeCell="C1" sqref="C1"/>
      <selection pane="bottomLeft" activeCell="A8" sqref="A8"/>
      <selection pane="bottomRight" activeCell="A21" sqref="A21:T21"/>
    </sheetView>
  </sheetViews>
  <sheetFormatPr defaultRowHeight="12.75" x14ac:dyDescent="0.2"/>
  <cols>
    <col min="1" max="1" width="71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5" width="9" style="31" hidden="1" customWidth="1"/>
    <col min="16" max="18" width="10.140625" style="31" bestFit="1" customWidth="1"/>
    <col min="19" max="20" width="10.85546875" style="31" bestFit="1" customWidth="1"/>
    <col min="21" max="256" width="9.140625" style="31"/>
    <col min="257" max="257" width="71" style="31" customWidth="1"/>
    <col min="258" max="258" width="35.140625" style="31" bestFit="1" customWidth="1"/>
    <col min="259" max="271" width="0" style="31" hidden="1" customWidth="1"/>
    <col min="272" max="274" width="10.140625" style="31" bestFit="1" customWidth="1"/>
    <col min="275" max="276" width="10.85546875" style="31" bestFit="1" customWidth="1"/>
    <col min="277" max="512" width="9.140625" style="31"/>
    <col min="513" max="513" width="71" style="31" customWidth="1"/>
    <col min="514" max="514" width="35.140625" style="31" bestFit="1" customWidth="1"/>
    <col min="515" max="527" width="0" style="31" hidden="1" customWidth="1"/>
    <col min="528" max="530" width="10.140625" style="31" bestFit="1" customWidth="1"/>
    <col min="531" max="532" width="10.85546875" style="31" bestFit="1" customWidth="1"/>
    <col min="533" max="768" width="9.140625" style="31"/>
    <col min="769" max="769" width="71" style="31" customWidth="1"/>
    <col min="770" max="770" width="35.140625" style="31" bestFit="1" customWidth="1"/>
    <col min="771" max="783" width="0" style="31" hidden="1" customWidth="1"/>
    <col min="784" max="786" width="10.140625" style="31" bestFit="1" customWidth="1"/>
    <col min="787" max="788" width="10.85546875" style="31" bestFit="1" customWidth="1"/>
    <col min="789" max="1024" width="9.140625" style="31"/>
    <col min="1025" max="1025" width="71" style="31" customWidth="1"/>
    <col min="1026" max="1026" width="35.140625" style="31" bestFit="1" customWidth="1"/>
    <col min="1027" max="1039" width="0" style="31" hidden="1" customWidth="1"/>
    <col min="1040" max="1042" width="10.140625" style="31" bestFit="1" customWidth="1"/>
    <col min="1043" max="1044" width="10.85546875" style="31" bestFit="1" customWidth="1"/>
    <col min="1045" max="1280" width="9.140625" style="31"/>
    <col min="1281" max="1281" width="71" style="31" customWidth="1"/>
    <col min="1282" max="1282" width="35.140625" style="31" bestFit="1" customWidth="1"/>
    <col min="1283" max="1295" width="0" style="31" hidden="1" customWidth="1"/>
    <col min="1296" max="1298" width="10.140625" style="31" bestFit="1" customWidth="1"/>
    <col min="1299" max="1300" width="10.85546875" style="31" bestFit="1" customWidth="1"/>
    <col min="1301" max="1536" width="9.140625" style="31"/>
    <col min="1537" max="1537" width="71" style="31" customWidth="1"/>
    <col min="1538" max="1538" width="35.140625" style="31" bestFit="1" customWidth="1"/>
    <col min="1539" max="1551" width="0" style="31" hidden="1" customWidth="1"/>
    <col min="1552" max="1554" width="10.140625" style="31" bestFit="1" customWidth="1"/>
    <col min="1555" max="1556" width="10.85546875" style="31" bestFit="1" customWidth="1"/>
    <col min="1557" max="1792" width="9.140625" style="31"/>
    <col min="1793" max="1793" width="71" style="31" customWidth="1"/>
    <col min="1794" max="1794" width="35.140625" style="31" bestFit="1" customWidth="1"/>
    <col min="1795" max="1807" width="0" style="31" hidden="1" customWidth="1"/>
    <col min="1808" max="1810" width="10.140625" style="31" bestFit="1" customWidth="1"/>
    <col min="1811" max="1812" width="10.85546875" style="31" bestFit="1" customWidth="1"/>
    <col min="1813" max="2048" width="9.140625" style="31"/>
    <col min="2049" max="2049" width="71" style="31" customWidth="1"/>
    <col min="2050" max="2050" width="35.140625" style="31" bestFit="1" customWidth="1"/>
    <col min="2051" max="2063" width="0" style="31" hidden="1" customWidth="1"/>
    <col min="2064" max="2066" width="10.140625" style="31" bestFit="1" customWidth="1"/>
    <col min="2067" max="2068" width="10.85546875" style="31" bestFit="1" customWidth="1"/>
    <col min="2069" max="2304" width="9.140625" style="31"/>
    <col min="2305" max="2305" width="71" style="31" customWidth="1"/>
    <col min="2306" max="2306" width="35.140625" style="31" bestFit="1" customWidth="1"/>
    <col min="2307" max="2319" width="0" style="31" hidden="1" customWidth="1"/>
    <col min="2320" max="2322" width="10.140625" style="31" bestFit="1" customWidth="1"/>
    <col min="2323" max="2324" width="10.85546875" style="31" bestFit="1" customWidth="1"/>
    <col min="2325" max="2560" width="9.140625" style="31"/>
    <col min="2561" max="2561" width="71" style="31" customWidth="1"/>
    <col min="2562" max="2562" width="35.140625" style="31" bestFit="1" customWidth="1"/>
    <col min="2563" max="2575" width="0" style="31" hidden="1" customWidth="1"/>
    <col min="2576" max="2578" width="10.140625" style="31" bestFit="1" customWidth="1"/>
    <col min="2579" max="2580" width="10.85546875" style="31" bestFit="1" customWidth="1"/>
    <col min="2581" max="2816" width="9.140625" style="31"/>
    <col min="2817" max="2817" width="71" style="31" customWidth="1"/>
    <col min="2818" max="2818" width="35.140625" style="31" bestFit="1" customWidth="1"/>
    <col min="2819" max="2831" width="0" style="31" hidden="1" customWidth="1"/>
    <col min="2832" max="2834" width="10.140625" style="31" bestFit="1" customWidth="1"/>
    <col min="2835" max="2836" width="10.85546875" style="31" bestFit="1" customWidth="1"/>
    <col min="2837" max="3072" width="9.140625" style="31"/>
    <col min="3073" max="3073" width="71" style="31" customWidth="1"/>
    <col min="3074" max="3074" width="35.140625" style="31" bestFit="1" customWidth="1"/>
    <col min="3075" max="3087" width="0" style="31" hidden="1" customWidth="1"/>
    <col min="3088" max="3090" width="10.140625" style="31" bestFit="1" customWidth="1"/>
    <col min="3091" max="3092" width="10.85546875" style="31" bestFit="1" customWidth="1"/>
    <col min="3093" max="3328" width="9.140625" style="31"/>
    <col min="3329" max="3329" width="71" style="31" customWidth="1"/>
    <col min="3330" max="3330" width="35.140625" style="31" bestFit="1" customWidth="1"/>
    <col min="3331" max="3343" width="0" style="31" hidden="1" customWidth="1"/>
    <col min="3344" max="3346" width="10.140625" style="31" bestFit="1" customWidth="1"/>
    <col min="3347" max="3348" width="10.85546875" style="31" bestFit="1" customWidth="1"/>
    <col min="3349" max="3584" width="9.140625" style="31"/>
    <col min="3585" max="3585" width="71" style="31" customWidth="1"/>
    <col min="3586" max="3586" width="35.140625" style="31" bestFit="1" customWidth="1"/>
    <col min="3587" max="3599" width="0" style="31" hidden="1" customWidth="1"/>
    <col min="3600" max="3602" width="10.140625" style="31" bestFit="1" customWidth="1"/>
    <col min="3603" max="3604" width="10.85546875" style="31" bestFit="1" customWidth="1"/>
    <col min="3605" max="3840" width="9.140625" style="31"/>
    <col min="3841" max="3841" width="71" style="31" customWidth="1"/>
    <col min="3842" max="3842" width="35.140625" style="31" bestFit="1" customWidth="1"/>
    <col min="3843" max="3855" width="0" style="31" hidden="1" customWidth="1"/>
    <col min="3856" max="3858" width="10.140625" style="31" bestFit="1" customWidth="1"/>
    <col min="3859" max="3860" width="10.85546875" style="31" bestFit="1" customWidth="1"/>
    <col min="3861" max="4096" width="9.140625" style="31"/>
    <col min="4097" max="4097" width="71" style="31" customWidth="1"/>
    <col min="4098" max="4098" width="35.140625" style="31" bestFit="1" customWidth="1"/>
    <col min="4099" max="4111" width="0" style="31" hidden="1" customWidth="1"/>
    <col min="4112" max="4114" width="10.140625" style="31" bestFit="1" customWidth="1"/>
    <col min="4115" max="4116" width="10.85546875" style="31" bestFit="1" customWidth="1"/>
    <col min="4117" max="4352" width="9.140625" style="31"/>
    <col min="4353" max="4353" width="71" style="31" customWidth="1"/>
    <col min="4354" max="4354" width="35.140625" style="31" bestFit="1" customWidth="1"/>
    <col min="4355" max="4367" width="0" style="31" hidden="1" customWidth="1"/>
    <col min="4368" max="4370" width="10.140625" style="31" bestFit="1" customWidth="1"/>
    <col min="4371" max="4372" width="10.85546875" style="31" bestFit="1" customWidth="1"/>
    <col min="4373" max="4608" width="9.140625" style="31"/>
    <col min="4609" max="4609" width="71" style="31" customWidth="1"/>
    <col min="4610" max="4610" width="35.140625" style="31" bestFit="1" customWidth="1"/>
    <col min="4611" max="4623" width="0" style="31" hidden="1" customWidth="1"/>
    <col min="4624" max="4626" width="10.140625" style="31" bestFit="1" customWidth="1"/>
    <col min="4627" max="4628" width="10.85546875" style="31" bestFit="1" customWidth="1"/>
    <col min="4629" max="4864" width="9.140625" style="31"/>
    <col min="4865" max="4865" width="71" style="31" customWidth="1"/>
    <col min="4866" max="4866" width="35.140625" style="31" bestFit="1" customWidth="1"/>
    <col min="4867" max="4879" width="0" style="31" hidden="1" customWidth="1"/>
    <col min="4880" max="4882" width="10.140625" style="31" bestFit="1" customWidth="1"/>
    <col min="4883" max="4884" width="10.85546875" style="31" bestFit="1" customWidth="1"/>
    <col min="4885" max="5120" width="9.140625" style="31"/>
    <col min="5121" max="5121" width="71" style="31" customWidth="1"/>
    <col min="5122" max="5122" width="35.140625" style="31" bestFit="1" customWidth="1"/>
    <col min="5123" max="5135" width="0" style="31" hidden="1" customWidth="1"/>
    <col min="5136" max="5138" width="10.140625" style="31" bestFit="1" customWidth="1"/>
    <col min="5139" max="5140" width="10.85546875" style="31" bestFit="1" customWidth="1"/>
    <col min="5141" max="5376" width="9.140625" style="31"/>
    <col min="5377" max="5377" width="71" style="31" customWidth="1"/>
    <col min="5378" max="5378" width="35.140625" style="31" bestFit="1" customWidth="1"/>
    <col min="5379" max="5391" width="0" style="31" hidden="1" customWidth="1"/>
    <col min="5392" max="5394" width="10.140625" style="31" bestFit="1" customWidth="1"/>
    <col min="5395" max="5396" width="10.85546875" style="31" bestFit="1" customWidth="1"/>
    <col min="5397" max="5632" width="9.140625" style="31"/>
    <col min="5633" max="5633" width="71" style="31" customWidth="1"/>
    <col min="5634" max="5634" width="35.140625" style="31" bestFit="1" customWidth="1"/>
    <col min="5635" max="5647" width="0" style="31" hidden="1" customWidth="1"/>
    <col min="5648" max="5650" width="10.140625" style="31" bestFit="1" customWidth="1"/>
    <col min="5651" max="5652" width="10.85546875" style="31" bestFit="1" customWidth="1"/>
    <col min="5653" max="5888" width="9.140625" style="31"/>
    <col min="5889" max="5889" width="71" style="31" customWidth="1"/>
    <col min="5890" max="5890" width="35.140625" style="31" bestFit="1" customWidth="1"/>
    <col min="5891" max="5903" width="0" style="31" hidden="1" customWidth="1"/>
    <col min="5904" max="5906" width="10.140625" style="31" bestFit="1" customWidth="1"/>
    <col min="5907" max="5908" width="10.85546875" style="31" bestFit="1" customWidth="1"/>
    <col min="5909" max="6144" width="9.140625" style="31"/>
    <col min="6145" max="6145" width="71" style="31" customWidth="1"/>
    <col min="6146" max="6146" width="35.140625" style="31" bestFit="1" customWidth="1"/>
    <col min="6147" max="6159" width="0" style="31" hidden="1" customWidth="1"/>
    <col min="6160" max="6162" width="10.140625" style="31" bestFit="1" customWidth="1"/>
    <col min="6163" max="6164" width="10.85546875" style="31" bestFit="1" customWidth="1"/>
    <col min="6165" max="6400" width="9.140625" style="31"/>
    <col min="6401" max="6401" width="71" style="31" customWidth="1"/>
    <col min="6402" max="6402" width="35.140625" style="31" bestFit="1" customWidth="1"/>
    <col min="6403" max="6415" width="0" style="31" hidden="1" customWidth="1"/>
    <col min="6416" max="6418" width="10.140625" style="31" bestFit="1" customWidth="1"/>
    <col min="6419" max="6420" width="10.85546875" style="31" bestFit="1" customWidth="1"/>
    <col min="6421" max="6656" width="9.140625" style="31"/>
    <col min="6657" max="6657" width="71" style="31" customWidth="1"/>
    <col min="6658" max="6658" width="35.140625" style="31" bestFit="1" customWidth="1"/>
    <col min="6659" max="6671" width="0" style="31" hidden="1" customWidth="1"/>
    <col min="6672" max="6674" width="10.140625" style="31" bestFit="1" customWidth="1"/>
    <col min="6675" max="6676" width="10.85546875" style="31" bestFit="1" customWidth="1"/>
    <col min="6677" max="6912" width="9.140625" style="31"/>
    <col min="6913" max="6913" width="71" style="31" customWidth="1"/>
    <col min="6914" max="6914" width="35.140625" style="31" bestFit="1" customWidth="1"/>
    <col min="6915" max="6927" width="0" style="31" hidden="1" customWidth="1"/>
    <col min="6928" max="6930" width="10.140625" style="31" bestFit="1" customWidth="1"/>
    <col min="6931" max="6932" width="10.85546875" style="31" bestFit="1" customWidth="1"/>
    <col min="6933" max="7168" width="9.140625" style="31"/>
    <col min="7169" max="7169" width="71" style="31" customWidth="1"/>
    <col min="7170" max="7170" width="35.140625" style="31" bestFit="1" customWidth="1"/>
    <col min="7171" max="7183" width="0" style="31" hidden="1" customWidth="1"/>
    <col min="7184" max="7186" width="10.140625" style="31" bestFit="1" customWidth="1"/>
    <col min="7187" max="7188" width="10.85546875" style="31" bestFit="1" customWidth="1"/>
    <col min="7189" max="7424" width="9.140625" style="31"/>
    <col min="7425" max="7425" width="71" style="31" customWidth="1"/>
    <col min="7426" max="7426" width="35.140625" style="31" bestFit="1" customWidth="1"/>
    <col min="7427" max="7439" width="0" style="31" hidden="1" customWidth="1"/>
    <col min="7440" max="7442" width="10.140625" style="31" bestFit="1" customWidth="1"/>
    <col min="7443" max="7444" width="10.85546875" style="31" bestFit="1" customWidth="1"/>
    <col min="7445" max="7680" width="9.140625" style="31"/>
    <col min="7681" max="7681" width="71" style="31" customWidth="1"/>
    <col min="7682" max="7682" width="35.140625" style="31" bestFit="1" customWidth="1"/>
    <col min="7683" max="7695" width="0" style="31" hidden="1" customWidth="1"/>
    <col min="7696" max="7698" width="10.140625" style="31" bestFit="1" customWidth="1"/>
    <col min="7699" max="7700" width="10.85546875" style="31" bestFit="1" customWidth="1"/>
    <col min="7701" max="7936" width="9.140625" style="31"/>
    <col min="7937" max="7937" width="71" style="31" customWidth="1"/>
    <col min="7938" max="7938" width="35.140625" style="31" bestFit="1" customWidth="1"/>
    <col min="7939" max="7951" width="0" style="31" hidden="1" customWidth="1"/>
    <col min="7952" max="7954" width="10.140625" style="31" bestFit="1" customWidth="1"/>
    <col min="7955" max="7956" width="10.85546875" style="31" bestFit="1" customWidth="1"/>
    <col min="7957" max="8192" width="9.140625" style="31"/>
    <col min="8193" max="8193" width="71" style="31" customWidth="1"/>
    <col min="8194" max="8194" width="35.140625" style="31" bestFit="1" customWidth="1"/>
    <col min="8195" max="8207" width="0" style="31" hidden="1" customWidth="1"/>
    <col min="8208" max="8210" width="10.140625" style="31" bestFit="1" customWidth="1"/>
    <col min="8211" max="8212" width="10.85546875" style="31" bestFit="1" customWidth="1"/>
    <col min="8213" max="8448" width="9.140625" style="31"/>
    <col min="8449" max="8449" width="71" style="31" customWidth="1"/>
    <col min="8450" max="8450" width="35.140625" style="31" bestFit="1" customWidth="1"/>
    <col min="8451" max="8463" width="0" style="31" hidden="1" customWidth="1"/>
    <col min="8464" max="8466" width="10.140625" style="31" bestFit="1" customWidth="1"/>
    <col min="8467" max="8468" width="10.85546875" style="31" bestFit="1" customWidth="1"/>
    <col min="8469" max="8704" width="9.140625" style="31"/>
    <col min="8705" max="8705" width="71" style="31" customWidth="1"/>
    <col min="8706" max="8706" width="35.140625" style="31" bestFit="1" customWidth="1"/>
    <col min="8707" max="8719" width="0" style="31" hidden="1" customWidth="1"/>
    <col min="8720" max="8722" width="10.140625" style="31" bestFit="1" customWidth="1"/>
    <col min="8723" max="8724" width="10.85546875" style="31" bestFit="1" customWidth="1"/>
    <col min="8725" max="8960" width="9.140625" style="31"/>
    <col min="8961" max="8961" width="71" style="31" customWidth="1"/>
    <col min="8962" max="8962" width="35.140625" style="31" bestFit="1" customWidth="1"/>
    <col min="8963" max="8975" width="0" style="31" hidden="1" customWidth="1"/>
    <col min="8976" max="8978" width="10.140625" style="31" bestFit="1" customWidth="1"/>
    <col min="8979" max="8980" width="10.85546875" style="31" bestFit="1" customWidth="1"/>
    <col min="8981" max="9216" width="9.140625" style="31"/>
    <col min="9217" max="9217" width="71" style="31" customWidth="1"/>
    <col min="9218" max="9218" width="35.140625" style="31" bestFit="1" customWidth="1"/>
    <col min="9219" max="9231" width="0" style="31" hidden="1" customWidth="1"/>
    <col min="9232" max="9234" width="10.140625" style="31" bestFit="1" customWidth="1"/>
    <col min="9235" max="9236" width="10.85546875" style="31" bestFit="1" customWidth="1"/>
    <col min="9237" max="9472" width="9.140625" style="31"/>
    <col min="9473" max="9473" width="71" style="31" customWidth="1"/>
    <col min="9474" max="9474" width="35.140625" style="31" bestFit="1" customWidth="1"/>
    <col min="9475" max="9487" width="0" style="31" hidden="1" customWidth="1"/>
    <col min="9488" max="9490" width="10.140625" style="31" bestFit="1" customWidth="1"/>
    <col min="9491" max="9492" width="10.85546875" style="31" bestFit="1" customWidth="1"/>
    <col min="9493" max="9728" width="9.140625" style="31"/>
    <col min="9729" max="9729" width="71" style="31" customWidth="1"/>
    <col min="9730" max="9730" width="35.140625" style="31" bestFit="1" customWidth="1"/>
    <col min="9731" max="9743" width="0" style="31" hidden="1" customWidth="1"/>
    <col min="9744" max="9746" width="10.140625" style="31" bestFit="1" customWidth="1"/>
    <col min="9747" max="9748" width="10.85546875" style="31" bestFit="1" customWidth="1"/>
    <col min="9749" max="9984" width="9.140625" style="31"/>
    <col min="9985" max="9985" width="71" style="31" customWidth="1"/>
    <col min="9986" max="9986" width="35.140625" style="31" bestFit="1" customWidth="1"/>
    <col min="9987" max="9999" width="0" style="31" hidden="1" customWidth="1"/>
    <col min="10000" max="10002" width="10.140625" style="31" bestFit="1" customWidth="1"/>
    <col min="10003" max="10004" width="10.85546875" style="31" bestFit="1" customWidth="1"/>
    <col min="10005" max="10240" width="9.140625" style="31"/>
    <col min="10241" max="10241" width="71" style="31" customWidth="1"/>
    <col min="10242" max="10242" width="35.140625" style="31" bestFit="1" customWidth="1"/>
    <col min="10243" max="10255" width="0" style="31" hidden="1" customWidth="1"/>
    <col min="10256" max="10258" width="10.140625" style="31" bestFit="1" customWidth="1"/>
    <col min="10259" max="10260" width="10.85546875" style="31" bestFit="1" customWidth="1"/>
    <col min="10261" max="10496" width="9.140625" style="31"/>
    <col min="10497" max="10497" width="71" style="31" customWidth="1"/>
    <col min="10498" max="10498" width="35.140625" style="31" bestFit="1" customWidth="1"/>
    <col min="10499" max="10511" width="0" style="31" hidden="1" customWidth="1"/>
    <col min="10512" max="10514" width="10.140625" style="31" bestFit="1" customWidth="1"/>
    <col min="10515" max="10516" width="10.85546875" style="31" bestFit="1" customWidth="1"/>
    <col min="10517" max="10752" width="9.140625" style="31"/>
    <col min="10753" max="10753" width="71" style="31" customWidth="1"/>
    <col min="10754" max="10754" width="35.140625" style="31" bestFit="1" customWidth="1"/>
    <col min="10755" max="10767" width="0" style="31" hidden="1" customWidth="1"/>
    <col min="10768" max="10770" width="10.140625" style="31" bestFit="1" customWidth="1"/>
    <col min="10771" max="10772" width="10.85546875" style="31" bestFit="1" customWidth="1"/>
    <col min="10773" max="11008" width="9.140625" style="31"/>
    <col min="11009" max="11009" width="71" style="31" customWidth="1"/>
    <col min="11010" max="11010" width="35.140625" style="31" bestFit="1" customWidth="1"/>
    <col min="11011" max="11023" width="0" style="31" hidden="1" customWidth="1"/>
    <col min="11024" max="11026" width="10.140625" style="31" bestFit="1" customWidth="1"/>
    <col min="11027" max="11028" width="10.85546875" style="31" bestFit="1" customWidth="1"/>
    <col min="11029" max="11264" width="9.140625" style="31"/>
    <col min="11265" max="11265" width="71" style="31" customWidth="1"/>
    <col min="11266" max="11266" width="35.140625" style="31" bestFit="1" customWidth="1"/>
    <col min="11267" max="11279" width="0" style="31" hidden="1" customWidth="1"/>
    <col min="11280" max="11282" width="10.140625" style="31" bestFit="1" customWidth="1"/>
    <col min="11283" max="11284" width="10.85546875" style="31" bestFit="1" customWidth="1"/>
    <col min="11285" max="11520" width="9.140625" style="31"/>
    <col min="11521" max="11521" width="71" style="31" customWidth="1"/>
    <col min="11522" max="11522" width="35.140625" style="31" bestFit="1" customWidth="1"/>
    <col min="11523" max="11535" width="0" style="31" hidden="1" customWidth="1"/>
    <col min="11536" max="11538" width="10.140625" style="31" bestFit="1" customWidth="1"/>
    <col min="11539" max="11540" width="10.85546875" style="31" bestFit="1" customWidth="1"/>
    <col min="11541" max="11776" width="9.140625" style="31"/>
    <col min="11777" max="11777" width="71" style="31" customWidth="1"/>
    <col min="11778" max="11778" width="35.140625" style="31" bestFit="1" customWidth="1"/>
    <col min="11779" max="11791" width="0" style="31" hidden="1" customWidth="1"/>
    <col min="11792" max="11794" width="10.140625" style="31" bestFit="1" customWidth="1"/>
    <col min="11795" max="11796" width="10.85546875" style="31" bestFit="1" customWidth="1"/>
    <col min="11797" max="12032" width="9.140625" style="31"/>
    <col min="12033" max="12033" width="71" style="31" customWidth="1"/>
    <col min="12034" max="12034" width="35.140625" style="31" bestFit="1" customWidth="1"/>
    <col min="12035" max="12047" width="0" style="31" hidden="1" customWidth="1"/>
    <col min="12048" max="12050" width="10.140625" style="31" bestFit="1" customWidth="1"/>
    <col min="12051" max="12052" width="10.85546875" style="31" bestFit="1" customWidth="1"/>
    <col min="12053" max="12288" width="9.140625" style="31"/>
    <col min="12289" max="12289" width="71" style="31" customWidth="1"/>
    <col min="12290" max="12290" width="35.140625" style="31" bestFit="1" customWidth="1"/>
    <col min="12291" max="12303" width="0" style="31" hidden="1" customWidth="1"/>
    <col min="12304" max="12306" width="10.140625" style="31" bestFit="1" customWidth="1"/>
    <col min="12307" max="12308" width="10.85546875" style="31" bestFit="1" customWidth="1"/>
    <col min="12309" max="12544" width="9.140625" style="31"/>
    <col min="12545" max="12545" width="71" style="31" customWidth="1"/>
    <col min="12546" max="12546" width="35.140625" style="31" bestFit="1" customWidth="1"/>
    <col min="12547" max="12559" width="0" style="31" hidden="1" customWidth="1"/>
    <col min="12560" max="12562" width="10.140625" style="31" bestFit="1" customWidth="1"/>
    <col min="12563" max="12564" width="10.85546875" style="31" bestFit="1" customWidth="1"/>
    <col min="12565" max="12800" width="9.140625" style="31"/>
    <col min="12801" max="12801" width="71" style="31" customWidth="1"/>
    <col min="12802" max="12802" width="35.140625" style="31" bestFit="1" customWidth="1"/>
    <col min="12803" max="12815" width="0" style="31" hidden="1" customWidth="1"/>
    <col min="12816" max="12818" width="10.140625" style="31" bestFit="1" customWidth="1"/>
    <col min="12819" max="12820" width="10.85546875" style="31" bestFit="1" customWidth="1"/>
    <col min="12821" max="13056" width="9.140625" style="31"/>
    <col min="13057" max="13057" width="71" style="31" customWidth="1"/>
    <col min="13058" max="13058" width="35.140625" style="31" bestFit="1" customWidth="1"/>
    <col min="13059" max="13071" width="0" style="31" hidden="1" customWidth="1"/>
    <col min="13072" max="13074" width="10.140625" style="31" bestFit="1" customWidth="1"/>
    <col min="13075" max="13076" width="10.85546875" style="31" bestFit="1" customWidth="1"/>
    <col min="13077" max="13312" width="9.140625" style="31"/>
    <col min="13313" max="13313" width="71" style="31" customWidth="1"/>
    <col min="13314" max="13314" width="35.140625" style="31" bestFit="1" customWidth="1"/>
    <col min="13315" max="13327" width="0" style="31" hidden="1" customWidth="1"/>
    <col min="13328" max="13330" width="10.140625" style="31" bestFit="1" customWidth="1"/>
    <col min="13331" max="13332" width="10.85546875" style="31" bestFit="1" customWidth="1"/>
    <col min="13333" max="13568" width="9.140625" style="31"/>
    <col min="13569" max="13569" width="71" style="31" customWidth="1"/>
    <col min="13570" max="13570" width="35.140625" style="31" bestFit="1" customWidth="1"/>
    <col min="13571" max="13583" width="0" style="31" hidden="1" customWidth="1"/>
    <col min="13584" max="13586" width="10.140625" style="31" bestFit="1" customWidth="1"/>
    <col min="13587" max="13588" width="10.85546875" style="31" bestFit="1" customWidth="1"/>
    <col min="13589" max="13824" width="9.140625" style="31"/>
    <col min="13825" max="13825" width="71" style="31" customWidth="1"/>
    <col min="13826" max="13826" width="35.140625" style="31" bestFit="1" customWidth="1"/>
    <col min="13827" max="13839" width="0" style="31" hidden="1" customWidth="1"/>
    <col min="13840" max="13842" width="10.140625" style="31" bestFit="1" customWidth="1"/>
    <col min="13843" max="13844" width="10.85546875" style="31" bestFit="1" customWidth="1"/>
    <col min="13845" max="14080" width="9.140625" style="31"/>
    <col min="14081" max="14081" width="71" style="31" customWidth="1"/>
    <col min="14082" max="14082" width="35.140625" style="31" bestFit="1" customWidth="1"/>
    <col min="14083" max="14095" width="0" style="31" hidden="1" customWidth="1"/>
    <col min="14096" max="14098" width="10.140625" style="31" bestFit="1" customWidth="1"/>
    <col min="14099" max="14100" width="10.85546875" style="31" bestFit="1" customWidth="1"/>
    <col min="14101" max="14336" width="9.140625" style="31"/>
    <col min="14337" max="14337" width="71" style="31" customWidth="1"/>
    <col min="14338" max="14338" width="35.140625" style="31" bestFit="1" customWidth="1"/>
    <col min="14339" max="14351" width="0" style="31" hidden="1" customWidth="1"/>
    <col min="14352" max="14354" width="10.140625" style="31" bestFit="1" customWidth="1"/>
    <col min="14355" max="14356" width="10.85546875" style="31" bestFit="1" customWidth="1"/>
    <col min="14357" max="14592" width="9.140625" style="31"/>
    <col min="14593" max="14593" width="71" style="31" customWidth="1"/>
    <col min="14594" max="14594" width="35.140625" style="31" bestFit="1" customWidth="1"/>
    <col min="14595" max="14607" width="0" style="31" hidden="1" customWidth="1"/>
    <col min="14608" max="14610" width="10.140625" style="31" bestFit="1" customWidth="1"/>
    <col min="14611" max="14612" width="10.85546875" style="31" bestFit="1" customWidth="1"/>
    <col min="14613" max="14848" width="9.140625" style="31"/>
    <col min="14849" max="14849" width="71" style="31" customWidth="1"/>
    <col min="14850" max="14850" width="35.140625" style="31" bestFit="1" customWidth="1"/>
    <col min="14851" max="14863" width="0" style="31" hidden="1" customWidth="1"/>
    <col min="14864" max="14866" width="10.140625" style="31" bestFit="1" customWidth="1"/>
    <col min="14867" max="14868" width="10.85546875" style="31" bestFit="1" customWidth="1"/>
    <col min="14869" max="15104" width="9.140625" style="31"/>
    <col min="15105" max="15105" width="71" style="31" customWidth="1"/>
    <col min="15106" max="15106" width="35.140625" style="31" bestFit="1" customWidth="1"/>
    <col min="15107" max="15119" width="0" style="31" hidden="1" customWidth="1"/>
    <col min="15120" max="15122" width="10.140625" style="31" bestFit="1" customWidth="1"/>
    <col min="15123" max="15124" width="10.85546875" style="31" bestFit="1" customWidth="1"/>
    <col min="15125" max="15360" width="9.140625" style="31"/>
    <col min="15361" max="15361" width="71" style="31" customWidth="1"/>
    <col min="15362" max="15362" width="35.140625" style="31" bestFit="1" customWidth="1"/>
    <col min="15363" max="15375" width="0" style="31" hidden="1" customWidth="1"/>
    <col min="15376" max="15378" width="10.140625" style="31" bestFit="1" customWidth="1"/>
    <col min="15379" max="15380" width="10.85546875" style="31" bestFit="1" customWidth="1"/>
    <col min="15381" max="15616" width="9.140625" style="31"/>
    <col min="15617" max="15617" width="71" style="31" customWidth="1"/>
    <col min="15618" max="15618" width="35.140625" style="31" bestFit="1" customWidth="1"/>
    <col min="15619" max="15631" width="0" style="31" hidden="1" customWidth="1"/>
    <col min="15632" max="15634" width="10.140625" style="31" bestFit="1" customWidth="1"/>
    <col min="15635" max="15636" width="10.85546875" style="31" bestFit="1" customWidth="1"/>
    <col min="15637" max="15872" width="9.140625" style="31"/>
    <col min="15873" max="15873" width="71" style="31" customWidth="1"/>
    <col min="15874" max="15874" width="35.140625" style="31" bestFit="1" customWidth="1"/>
    <col min="15875" max="15887" width="0" style="31" hidden="1" customWidth="1"/>
    <col min="15888" max="15890" width="10.140625" style="31" bestFit="1" customWidth="1"/>
    <col min="15891" max="15892" width="10.85546875" style="31" bestFit="1" customWidth="1"/>
    <col min="15893" max="16128" width="9.140625" style="31"/>
    <col min="16129" max="16129" width="71" style="31" customWidth="1"/>
    <col min="16130" max="16130" width="35.140625" style="31" bestFit="1" customWidth="1"/>
    <col min="16131" max="16143" width="0" style="31" hidden="1" customWidth="1"/>
    <col min="16144" max="16146" width="10.140625" style="31" bestFit="1" customWidth="1"/>
    <col min="16147" max="16148" width="10.85546875" style="31" bestFit="1" customWidth="1"/>
    <col min="16149" max="16384" width="9.140625" style="31"/>
  </cols>
  <sheetData>
    <row r="1" spans="1:20" ht="12.75" customHeight="1" x14ac:dyDescent="0.2">
      <c r="A1" s="30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8" customFormat="1" ht="32.25" customHeight="1" thickBot="1" x14ac:dyDescent="0.25">
      <c r="A2" s="325" t="s">
        <v>578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s="88" customFormat="1" x14ac:dyDescent="0.2">
      <c r="A3" s="326" t="s">
        <v>205</v>
      </c>
      <c r="B3" s="328" t="s">
        <v>206</v>
      </c>
      <c r="C3" s="307" t="s">
        <v>207</v>
      </c>
      <c r="D3" s="307" t="s">
        <v>207</v>
      </c>
      <c r="E3" s="307" t="s">
        <v>207</v>
      </c>
      <c r="F3" s="307" t="s">
        <v>207</v>
      </c>
      <c r="G3" s="307" t="s">
        <v>207</v>
      </c>
      <c r="H3" s="307" t="s">
        <v>207</v>
      </c>
      <c r="I3" s="307" t="s">
        <v>207</v>
      </c>
      <c r="J3" s="307" t="s">
        <v>207</v>
      </c>
      <c r="K3" s="307" t="s">
        <v>207</v>
      </c>
      <c r="L3" s="307" t="s">
        <v>207</v>
      </c>
      <c r="M3" s="307" t="s">
        <v>207</v>
      </c>
      <c r="N3" s="307" t="s">
        <v>207</v>
      </c>
      <c r="O3" s="307" t="s">
        <v>207</v>
      </c>
      <c r="P3" s="307" t="s">
        <v>207</v>
      </c>
      <c r="Q3" s="307" t="s">
        <v>208</v>
      </c>
      <c r="R3" s="328" t="s">
        <v>209</v>
      </c>
      <c r="S3" s="330"/>
      <c r="T3" s="331"/>
    </row>
    <row r="4" spans="1:20" s="88" customFormat="1" ht="18.75" customHeight="1" x14ac:dyDescent="0.2">
      <c r="A4" s="327"/>
      <c r="B4" s="329"/>
      <c r="C4" s="89" t="s">
        <v>210</v>
      </c>
      <c r="D4" s="89" t="s">
        <v>211</v>
      </c>
      <c r="E4" s="89" t="s">
        <v>212</v>
      </c>
      <c r="F4" s="89" t="s">
        <v>213</v>
      </c>
      <c r="G4" s="89" t="s">
        <v>214</v>
      </c>
      <c r="H4" s="89" t="s">
        <v>215</v>
      </c>
      <c r="I4" s="89" t="s">
        <v>216</v>
      </c>
      <c r="J4" s="89" t="s">
        <v>217</v>
      </c>
      <c r="K4" s="89" t="s">
        <v>218</v>
      </c>
      <c r="L4" s="89">
        <v>2017</v>
      </c>
      <c r="M4" s="89" t="s">
        <v>479</v>
      </c>
      <c r="N4" s="89" t="s">
        <v>302</v>
      </c>
      <c r="O4" s="89" t="s">
        <v>356</v>
      </c>
      <c r="P4" s="89" t="s">
        <v>412</v>
      </c>
      <c r="Q4" s="89" t="s">
        <v>446</v>
      </c>
      <c r="R4" s="89" t="s">
        <v>470</v>
      </c>
      <c r="S4" s="89" t="s">
        <v>579</v>
      </c>
      <c r="T4" s="34" t="s">
        <v>580</v>
      </c>
    </row>
    <row r="5" spans="1:20" s="88" customFormat="1" ht="16.5" customHeight="1" x14ac:dyDescent="0.2">
      <c r="A5" s="322" t="s">
        <v>367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</row>
    <row r="6" spans="1:20" s="96" customFormat="1" ht="15" x14ac:dyDescent="0.25">
      <c r="A6" s="90" t="s">
        <v>219</v>
      </c>
      <c r="B6" s="91" t="s">
        <v>220</v>
      </c>
      <c r="C6" s="92">
        <v>6.0190000000000001</v>
      </c>
      <c r="D6" s="93">
        <v>5.8970000000000002</v>
      </c>
      <c r="E6" s="93">
        <v>5.2770000000000001</v>
      </c>
      <c r="F6" s="93">
        <v>5.3520000000000003</v>
      </c>
      <c r="G6" s="93">
        <v>5.141</v>
      </c>
      <c r="H6" s="94">
        <v>5.1970000000000001</v>
      </c>
      <c r="I6" s="94">
        <v>5.1219999999999999</v>
      </c>
      <c r="J6" s="94">
        <v>4.8140000000000001</v>
      </c>
      <c r="K6" s="94">
        <v>4.6920000000000002</v>
      </c>
      <c r="L6" s="94">
        <v>4.734</v>
      </c>
      <c r="M6" s="94">
        <v>5.0380000000000003</v>
      </c>
      <c r="N6" s="94">
        <v>5.0490000000000004</v>
      </c>
      <c r="O6" s="94">
        <v>5.056</v>
      </c>
      <c r="P6" s="94">
        <v>5.1130000000000004</v>
      </c>
      <c r="Q6" s="94">
        <v>5.0999999999999996</v>
      </c>
      <c r="R6" s="94">
        <v>5.0999999999999996</v>
      </c>
      <c r="S6" s="94">
        <v>5.0999999999999996</v>
      </c>
      <c r="T6" s="95">
        <v>5.0999999999999996</v>
      </c>
    </row>
    <row r="7" spans="1:20" s="96" customFormat="1" ht="15" x14ac:dyDescent="0.25">
      <c r="A7" s="332" t="s">
        <v>221</v>
      </c>
      <c r="B7" s="333"/>
      <c r="C7" s="97">
        <f>SUM((C6/(2202+3923)*100))</f>
        <v>9.8269387755102036E-2</v>
      </c>
      <c r="D7" s="97">
        <f>SUM(D6/C6*100)</f>
        <v>97.973085230104672</v>
      </c>
      <c r="E7" s="98">
        <f>SUM((E6/D6)*100)</f>
        <v>89.486179413260984</v>
      </c>
      <c r="F7" s="98">
        <f>SUM((F6/E6)*100)</f>
        <v>101.42126208072769</v>
      </c>
      <c r="G7" s="98">
        <f t="shared" ref="G7:N7" si="0">SUM(G6/F6*100)</f>
        <v>96.057548579970103</v>
      </c>
      <c r="H7" s="98">
        <f t="shared" si="0"/>
        <v>101.08928224080917</v>
      </c>
      <c r="I7" s="98">
        <f t="shared" si="0"/>
        <v>98.556859726765438</v>
      </c>
      <c r="J7" s="99">
        <f t="shared" si="0"/>
        <v>93.986723935962516</v>
      </c>
      <c r="K7" s="99">
        <f t="shared" si="0"/>
        <v>97.465724968840888</v>
      </c>
      <c r="L7" s="99">
        <f t="shared" si="0"/>
        <v>100.89514066496163</v>
      </c>
      <c r="M7" s="99">
        <f t="shared" si="0"/>
        <v>106.42163075623152</v>
      </c>
      <c r="N7" s="99">
        <f t="shared" si="0"/>
        <v>100.21834061135371</v>
      </c>
      <c r="O7" s="99">
        <f>SUM(O6/N6*100)</f>
        <v>100.1386413151119</v>
      </c>
      <c r="P7" s="99">
        <f>SUM(P6/O6*100)</f>
        <v>101.12737341772153</v>
      </c>
      <c r="Q7" s="99">
        <f>SUM(Q6/P6*100)</f>
        <v>99.745746137297076</v>
      </c>
      <c r="R7" s="99">
        <f>SUM(R6/Q6*100)</f>
        <v>100</v>
      </c>
      <c r="S7" s="99">
        <f>SUM((S6/R6)*100)</f>
        <v>100</v>
      </c>
      <c r="T7" s="100">
        <f>SUM((T6/S6)*100)</f>
        <v>100</v>
      </c>
    </row>
    <row r="8" spans="1:20" s="96" customFormat="1" ht="15" x14ac:dyDescent="0.25">
      <c r="A8" s="90" t="s">
        <v>222</v>
      </c>
      <c r="B8" s="91" t="s">
        <v>220</v>
      </c>
      <c r="C8" s="92">
        <f>492+652+2349</f>
        <v>3493</v>
      </c>
      <c r="D8" s="93">
        <v>3.4350000000000001</v>
      </c>
      <c r="E8" s="93">
        <v>3.258</v>
      </c>
      <c r="F8" s="93">
        <v>3.1680000000000001</v>
      </c>
      <c r="G8" s="93">
        <v>3.0579999999999998</v>
      </c>
      <c r="H8" s="94">
        <v>3.1930000000000001</v>
      </c>
      <c r="I8" s="94">
        <v>3.2</v>
      </c>
      <c r="J8" s="94">
        <f>2.815+0.155</f>
        <v>2.9699999999999998</v>
      </c>
      <c r="K8" s="94">
        <v>2.86</v>
      </c>
      <c r="L8" s="94">
        <v>3.0390000000000001</v>
      </c>
      <c r="M8" s="94">
        <v>3.2759999999999998</v>
      </c>
      <c r="N8" s="94">
        <v>3.2559999999999998</v>
      </c>
      <c r="O8" s="94">
        <v>3.262</v>
      </c>
      <c r="P8" s="94">
        <v>3.3490000000000002</v>
      </c>
      <c r="Q8" s="94">
        <v>3.3</v>
      </c>
      <c r="R8" s="94">
        <v>3.3</v>
      </c>
      <c r="S8" s="94">
        <v>3.3</v>
      </c>
      <c r="T8" s="95">
        <v>3.3</v>
      </c>
    </row>
    <row r="9" spans="1:20" s="96" customFormat="1" ht="15" x14ac:dyDescent="0.25">
      <c r="A9" s="332" t="s">
        <v>221</v>
      </c>
      <c r="B9" s="333"/>
      <c r="C9" s="98">
        <f>SUM(C8/3559*100)</f>
        <v>98.14554650182636</v>
      </c>
      <c r="D9" s="98">
        <f>SUM(D8/C8*100)</f>
        <v>9.8339536215287709E-2</v>
      </c>
      <c r="E9" s="98">
        <f>SUM(E8/D8*100)</f>
        <v>94.8471615720524</v>
      </c>
      <c r="F9" s="98">
        <f>SUM(F8/E8*100)</f>
        <v>97.237569060773481</v>
      </c>
      <c r="G9" s="98">
        <f t="shared" ref="G9:N9" si="1">SUM(G8/F8*100)</f>
        <v>96.527777777777771</v>
      </c>
      <c r="H9" s="98">
        <f t="shared" si="1"/>
        <v>104.41465009810334</v>
      </c>
      <c r="I9" s="98">
        <f t="shared" si="1"/>
        <v>100.21922956467273</v>
      </c>
      <c r="J9" s="99">
        <f t="shared" si="1"/>
        <v>92.812499999999986</v>
      </c>
      <c r="K9" s="99">
        <f t="shared" si="1"/>
        <v>96.296296296296305</v>
      </c>
      <c r="L9" s="99">
        <f t="shared" si="1"/>
        <v>106.25874125874127</v>
      </c>
      <c r="M9" s="99">
        <f t="shared" si="1"/>
        <v>107.79861796643631</v>
      </c>
      <c r="N9" s="99">
        <f t="shared" si="1"/>
        <v>99.389499389499392</v>
      </c>
      <c r="O9" s="99">
        <f t="shared" ref="O9:T9" si="2">SUM(O8/N8*100)</f>
        <v>100.18427518427519</v>
      </c>
      <c r="P9" s="99">
        <f t="shared" si="2"/>
        <v>102.66707541385654</v>
      </c>
      <c r="Q9" s="99">
        <f t="shared" si="2"/>
        <v>98.53687667960584</v>
      </c>
      <c r="R9" s="99">
        <f t="shared" si="2"/>
        <v>100</v>
      </c>
      <c r="S9" s="99">
        <f t="shared" si="2"/>
        <v>100</v>
      </c>
      <c r="T9" s="100">
        <f t="shared" si="2"/>
        <v>100</v>
      </c>
    </row>
    <row r="10" spans="1:20" s="96" customFormat="1" ht="15" x14ac:dyDescent="0.25">
      <c r="A10" s="90" t="s">
        <v>223</v>
      </c>
      <c r="B10" s="91" t="s">
        <v>220</v>
      </c>
      <c r="C10" s="92">
        <f>C6-C8</f>
        <v>-3486.9810000000002</v>
      </c>
      <c r="D10" s="93">
        <f>D6-D8</f>
        <v>2.4620000000000002</v>
      </c>
      <c r="E10" s="93">
        <f>E6-E8</f>
        <v>2.0190000000000001</v>
      </c>
      <c r="F10" s="93">
        <f>F6-F8</f>
        <v>2.1840000000000002</v>
      </c>
      <c r="G10" s="93">
        <f>G6-G8</f>
        <v>2.0830000000000002</v>
      </c>
      <c r="H10" s="94">
        <f>H6-H8+0.01</f>
        <v>2.0139999999999998</v>
      </c>
      <c r="I10" s="94">
        <f t="shared" ref="I10:T10" si="3">I6-I8</f>
        <v>1.9219999999999997</v>
      </c>
      <c r="J10" s="94">
        <f t="shared" si="3"/>
        <v>1.8440000000000003</v>
      </c>
      <c r="K10" s="94">
        <f t="shared" si="3"/>
        <v>1.8320000000000003</v>
      </c>
      <c r="L10" s="94">
        <f t="shared" si="3"/>
        <v>1.6949999999999998</v>
      </c>
      <c r="M10" s="94">
        <f t="shared" si="3"/>
        <v>1.7620000000000005</v>
      </c>
      <c r="N10" s="94">
        <f t="shared" si="3"/>
        <v>1.7930000000000006</v>
      </c>
      <c r="O10" s="94">
        <f t="shared" si="3"/>
        <v>1.794</v>
      </c>
      <c r="P10" s="94">
        <f t="shared" si="3"/>
        <v>1.7640000000000002</v>
      </c>
      <c r="Q10" s="94">
        <f t="shared" si="3"/>
        <v>1.7999999999999998</v>
      </c>
      <c r="R10" s="94">
        <f t="shared" si="3"/>
        <v>1.7999999999999998</v>
      </c>
      <c r="S10" s="94">
        <f t="shared" si="3"/>
        <v>1.7999999999999998</v>
      </c>
      <c r="T10" s="95">
        <f t="shared" si="3"/>
        <v>1.7999999999999998</v>
      </c>
    </row>
    <row r="11" spans="1:20" s="88" customFormat="1" ht="16.5" customHeight="1" x14ac:dyDescent="0.2">
      <c r="A11" s="322" t="s">
        <v>224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</row>
    <row r="12" spans="1:20" s="96" customFormat="1" ht="15" x14ac:dyDescent="0.25">
      <c r="A12" s="334" t="s">
        <v>368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7"/>
    </row>
    <row r="13" spans="1:20" s="96" customFormat="1" ht="15" x14ac:dyDescent="0.25">
      <c r="A13" s="101" t="s">
        <v>225</v>
      </c>
      <c r="B13" s="102" t="s">
        <v>226</v>
      </c>
      <c r="C13" s="103">
        <f>182.842+293.508+176.248+7.989+380.445+34.892+62.635+2.06</f>
        <v>1140.6189999999999</v>
      </c>
      <c r="D13" s="103">
        <v>1879.3</v>
      </c>
      <c r="E13" s="103">
        <f>390.6+793.14*1000*1700/1000000</f>
        <v>1738.9380000000001</v>
      </c>
      <c r="F13" s="103">
        <f>413+413+837.79*1000*1700/1000000</f>
        <v>2250.2429999999999</v>
      </c>
      <c r="G13" s="104">
        <f>617.4+607.4+1089.505*1000*1600/1000000</f>
        <v>2968.0079999999998</v>
      </c>
      <c r="H13" s="104">
        <f>655.1+381+1072*1000*1400/1000000</f>
        <v>2536.8999999999996</v>
      </c>
      <c r="I13" s="104">
        <f>668.3+368+1047.144*1000*1729/1000000</f>
        <v>2846.811976</v>
      </c>
      <c r="J13" s="104">
        <f>680.4+433.3+1007.06*1000*2329.75/1000000</f>
        <v>3459.8980350000002</v>
      </c>
      <c r="K13" s="104">
        <f>700+492.8+202.7+985.788*1000*2260.43/1000000</f>
        <v>3623.8047688399997</v>
      </c>
      <c r="L13" s="105">
        <f>526.814+370.2+178.597+1063.659*1000*2366/1000000</f>
        <v>3592.2281939999998</v>
      </c>
      <c r="M13" s="220">
        <f>536.39+382.7+162.643+1149.95*1000*2763/1000000</f>
        <v>4259.0448500000002</v>
      </c>
      <c r="N13" s="220">
        <f>658.81+403.3+194.89+1149.95*1000*3008/1000000</f>
        <v>4716.0496000000003</v>
      </c>
      <c r="O13" s="220">
        <f>676.773+438.7+198.553+914.622*1000*4426/1000000</f>
        <v>5362.1429719999996</v>
      </c>
      <c r="P13" s="220">
        <f>(845.39+501.9+222.5)+(844.39*1000*3761.46/1000000)</f>
        <v>4745.9292094000002</v>
      </c>
      <c r="Q13" s="220">
        <f>(891.4+522+223.6)+(854*1000*3954.03/1000000)</f>
        <v>5013.7416199999998</v>
      </c>
      <c r="R13" s="220">
        <f>(952+543+225)+(864*1000*4000/1000000)</f>
        <v>5176</v>
      </c>
      <c r="S13" s="220">
        <f>(1000+560+230)+(864*1000*4200/1000000)</f>
        <v>5418.8</v>
      </c>
      <c r="T13" s="220">
        <f>(1000+560+230)+(864*1000*4300/1000000)</f>
        <v>5505.2</v>
      </c>
    </row>
    <row r="14" spans="1:20" s="96" customFormat="1" ht="15" x14ac:dyDescent="0.25">
      <c r="A14" s="332" t="s">
        <v>227</v>
      </c>
      <c r="B14" s="333"/>
      <c r="C14" s="106"/>
      <c r="D14" s="106">
        <f t="shared" ref="D14:T14" si="4">D13/C13*100</f>
        <v>164.76141463538659</v>
      </c>
      <c r="E14" s="106">
        <f t="shared" si="4"/>
        <v>92.53115521736818</v>
      </c>
      <c r="F14" s="106">
        <f t="shared" si="4"/>
        <v>129.40329097414627</v>
      </c>
      <c r="G14" s="106">
        <f t="shared" si="4"/>
        <v>131.89722176671586</v>
      </c>
      <c r="H14" s="106">
        <f t="shared" si="4"/>
        <v>85.47483699504852</v>
      </c>
      <c r="I14" s="106">
        <f t="shared" si="4"/>
        <v>112.21616839449725</v>
      </c>
      <c r="J14" s="107">
        <f t="shared" si="4"/>
        <v>121.53588168690493</v>
      </c>
      <c r="K14" s="107">
        <f t="shared" si="4"/>
        <v>104.73732844673268</v>
      </c>
      <c r="L14" s="107">
        <f t="shared" si="4"/>
        <v>99.128634767757987</v>
      </c>
      <c r="M14" s="221">
        <f t="shared" si="4"/>
        <v>118.56275882233112</v>
      </c>
      <c r="N14" s="221">
        <f t="shared" si="4"/>
        <v>110.73021689358356</v>
      </c>
      <c r="O14" s="221">
        <f>O13/N13*100</f>
        <v>113.69988500545031</v>
      </c>
      <c r="P14" s="221">
        <f>P13/O13*100</f>
        <v>88.508069146650143</v>
      </c>
      <c r="Q14" s="221">
        <f>Q13/P13*100</f>
        <v>105.64299210509837</v>
      </c>
      <c r="R14" s="221">
        <f>R13/Q13*100</f>
        <v>103.23627327249466</v>
      </c>
      <c r="S14" s="221">
        <f t="shared" si="4"/>
        <v>104.69088098918084</v>
      </c>
      <c r="T14" s="222">
        <f t="shared" si="4"/>
        <v>101.5944489554883</v>
      </c>
    </row>
    <row r="15" spans="1:20" s="96" customFormat="1" ht="15" x14ac:dyDescent="0.25">
      <c r="A15" s="334" t="s">
        <v>229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7"/>
    </row>
    <row r="16" spans="1:20" s="96" customFormat="1" ht="15" x14ac:dyDescent="0.25">
      <c r="A16" s="334" t="s">
        <v>369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7"/>
    </row>
    <row r="17" spans="1:20" s="96" customFormat="1" ht="15" x14ac:dyDescent="0.25">
      <c r="A17" s="90" t="s">
        <v>225</v>
      </c>
      <c r="B17" s="102" t="s">
        <v>230</v>
      </c>
      <c r="C17" s="108">
        <f>293.508+34.892</f>
        <v>328.4</v>
      </c>
      <c r="D17" s="108">
        <v>409.4</v>
      </c>
      <c r="E17" s="108">
        <f>390.6</f>
        <v>390.6</v>
      </c>
      <c r="F17" s="108">
        <f>413+53.4</f>
        <v>466.4</v>
      </c>
      <c r="G17" s="108">
        <f>617.4+94.6</f>
        <v>712</v>
      </c>
      <c r="H17" s="108">
        <f>655.1+71</f>
        <v>726.1</v>
      </c>
      <c r="I17" s="108">
        <v>735.3</v>
      </c>
      <c r="J17" s="108">
        <v>785</v>
      </c>
      <c r="K17" s="108">
        <f>391+121.3</f>
        <v>512.29999999999995</v>
      </c>
      <c r="L17" s="108">
        <f>180.73+33.7</f>
        <v>214.43</v>
      </c>
      <c r="M17" s="223">
        <f>193.59+36.9</f>
        <v>230.49</v>
      </c>
      <c r="N17" s="223">
        <f>231+27</f>
        <v>258</v>
      </c>
      <c r="O17" s="223">
        <f>238.76+23.5</f>
        <v>262.26</v>
      </c>
      <c r="P17" s="223">
        <f>274.69+25.5</f>
        <v>300.19</v>
      </c>
      <c r="Q17" s="223">
        <f>332.5+26.5</f>
        <v>359</v>
      </c>
      <c r="R17" s="223">
        <f>402.33+27.6</f>
        <v>429.93</v>
      </c>
      <c r="S17" s="223">
        <f>426.46+29.26</f>
        <v>455.71999999999997</v>
      </c>
      <c r="T17" s="224">
        <f>460.58+31.01</f>
        <v>491.59</v>
      </c>
    </row>
    <row r="18" spans="1:20" s="96" customFormat="1" ht="15" x14ac:dyDescent="0.25">
      <c r="A18" s="332" t="s">
        <v>227</v>
      </c>
      <c r="B18" s="333"/>
      <c r="C18" s="109"/>
      <c r="D18" s="110">
        <f>SUM((D17/C17)*100)</f>
        <v>124.66504263093788</v>
      </c>
      <c r="E18" s="110">
        <f>SUM((E17/D17)*100)</f>
        <v>95.407914020517836</v>
      </c>
      <c r="F18" s="110">
        <f>SUM((F17/E17)*100)</f>
        <v>119.40604198668714</v>
      </c>
      <c r="G18" s="110">
        <f>SUM((G17/F17)*100)</f>
        <v>152.65866209262435</v>
      </c>
      <c r="H18" s="110">
        <f>SUM((H17/G17)*100)</f>
        <v>101.98033707865169</v>
      </c>
      <c r="I18" s="110">
        <f>SUM((I17/G17)*100)</f>
        <v>103.27247191011236</v>
      </c>
      <c r="J18" s="110">
        <f t="shared" ref="J18:T18" si="5">SUM((J17/I17)*100)</f>
        <v>106.7591459268326</v>
      </c>
      <c r="K18" s="110">
        <f t="shared" si="5"/>
        <v>65.261146496815286</v>
      </c>
      <c r="L18" s="110">
        <f t="shared" si="5"/>
        <v>41.856334179191883</v>
      </c>
      <c r="M18" s="225">
        <f t="shared" si="5"/>
        <v>107.48962365340671</v>
      </c>
      <c r="N18" s="225">
        <f t="shared" si="5"/>
        <v>111.93544188468046</v>
      </c>
      <c r="O18" s="369">
        <f>O17/N17*100</f>
        <v>101.65116279069768</v>
      </c>
      <c r="P18" s="221">
        <f>P17/O17*100</f>
        <v>114.46274689239686</v>
      </c>
      <c r="Q18" s="221">
        <f>Q17/P17*100</f>
        <v>119.59092574702687</v>
      </c>
      <c r="R18" s="221">
        <f>R17/Q17*100</f>
        <v>119.75766016713092</v>
      </c>
      <c r="S18" s="225">
        <f t="shared" si="5"/>
        <v>105.9986509431768</v>
      </c>
      <c r="T18" s="227">
        <f t="shared" si="5"/>
        <v>107.87106117791627</v>
      </c>
    </row>
    <row r="19" spans="1:20" s="96" customFormat="1" ht="15" x14ac:dyDescent="0.25">
      <c r="A19" s="334" t="s">
        <v>232</v>
      </c>
      <c r="B19" s="335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7"/>
    </row>
    <row r="20" spans="1:20" s="96" customFormat="1" ht="15" x14ac:dyDescent="0.25">
      <c r="A20" s="111" t="s">
        <v>233</v>
      </c>
      <c r="B20" s="112" t="s">
        <v>234</v>
      </c>
      <c r="C20" s="113">
        <v>57967</v>
      </c>
      <c r="D20" s="113">
        <v>66121.3</v>
      </c>
      <c r="E20" s="113">
        <v>54347</v>
      </c>
      <c r="F20" s="113">
        <f>10632.264+49729</f>
        <v>60361.263999999996</v>
      </c>
      <c r="G20" s="113">
        <f>4392.586+42492</f>
        <v>46884.586000000003</v>
      </c>
      <c r="H20" s="114">
        <f>51433+9743.1</f>
        <v>61176.1</v>
      </c>
      <c r="I20" s="114">
        <v>58285.55</v>
      </c>
      <c r="J20" s="114">
        <v>55581.7</v>
      </c>
      <c r="K20" s="114">
        <v>49971.5</v>
      </c>
      <c r="L20" s="115">
        <v>50900.7</v>
      </c>
      <c r="M20" s="228">
        <v>51103</v>
      </c>
      <c r="N20" s="228">
        <v>56358.5</v>
      </c>
      <c r="O20" s="228">
        <v>55205.3</v>
      </c>
      <c r="P20" s="228">
        <v>58271.3</v>
      </c>
      <c r="Q20" s="228">
        <v>56323.7</v>
      </c>
      <c r="R20" s="228">
        <v>56123.4</v>
      </c>
      <c r="S20" s="228">
        <v>56684.63</v>
      </c>
      <c r="T20" s="229">
        <v>57251.48</v>
      </c>
    </row>
    <row r="21" spans="1:20" s="96" customFormat="1" ht="15" x14ac:dyDescent="0.25">
      <c r="A21" s="338" t="s">
        <v>235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7"/>
    </row>
    <row r="22" spans="1:20" s="96" customFormat="1" ht="15" x14ac:dyDescent="0.25">
      <c r="A22" s="111" t="s">
        <v>370</v>
      </c>
      <c r="B22" s="116" t="s">
        <v>234</v>
      </c>
      <c r="C22" s="113">
        <f>1429.2+47882.6</f>
        <v>49311.799999999996</v>
      </c>
      <c r="D22" s="113">
        <v>51481.7</v>
      </c>
      <c r="E22" s="113">
        <v>46850</v>
      </c>
      <c r="F22" s="113">
        <f>536.883+42338</f>
        <v>42874.883000000002</v>
      </c>
      <c r="G22" s="113">
        <f>876.06+35020</f>
        <v>35896.06</v>
      </c>
      <c r="H22" s="114">
        <f>28334</f>
        <v>28334</v>
      </c>
      <c r="I22" s="114">
        <v>41104</v>
      </c>
      <c r="J22" s="114">
        <v>41845.9</v>
      </c>
      <c r="K22" s="114">
        <v>35997.5</v>
      </c>
      <c r="L22" s="114">
        <v>39766.5</v>
      </c>
      <c r="M22" s="230">
        <v>36910</v>
      </c>
      <c r="N22" s="230">
        <v>41665</v>
      </c>
      <c r="O22" s="230">
        <v>40561</v>
      </c>
      <c r="P22" s="230">
        <v>42615</v>
      </c>
      <c r="Q22" s="230">
        <v>42140</v>
      </c>
      <c r="R22" s="230">
        <v>39607</v>
      </c>
      <c r="S22" s="230">
        <v>40003.07</v>
      </c>
      <c r="T22" s="231">
        <v>40403.1</v>
      </c>
    </row>
    <row r="23" spans="1:20" s="96" customFormat="1" ht="15" x14ac:dyDescent="0.25">
      <c r="A23" s="117" t="s">
        <v>371</v>
      </c>
      <c r="B23" s="116" t="s">
        <v>234</v>
      </c>
      <c r="C23" s="113">
        <f>63.6+74.94</f>
        <v>138.54</v>
      </c>
      <c r="D23" s="113">
        <v>168.1</v>
      </c>
      <c r="E23" s="113">
        <v>105</v>
      </c>
      <c r="F23" s="113">
        <f>61.894+92</f>
        <v>153.89400000000001</v>
      </c>
      <c r="G23" s="113">
        <f>48.665+86</f>
        <v>134.66499999999999</v>
      </c>
      <c r="H23" s="114">
        <f>154+61.4</f>
        <v>215.4</v>
      </c>
      <c r="I23" s="114">
        <v>184.3</v>
      </c>
      <c r="J23" s="114">
        <v>2130.8000000000002</v>
      </c>
      <c r="K23" s="114">
        <v>2212</v>
      </c>
      <c r="L23" s="114">
        <v>279.60000000000002</v>
      </c>
      <c r="M23" s="230">
        <v>496.7</v>
      </c>
      <c r="N23" s="230">
        <v>496</v>
      </c>
      <c r="O23" s="230">
        <v>367.2</v>
      </c>
      <c r="P23" s="230">
        <v>417.7</v>
      </c>
      <c r="Q23" s="230">
        <v>473</v>
      </c>
      <c r="R23" s="230">
        <v>375</v>
      </c>
      <c r="S23" s="230">
        <v>378.75</v>
      </c>
      <c r="T23" s="231">
        <v>382.54</v>
      </c>
    </row>
    <row r="24" spans="1:20" s="96" customFormat="1" ht="15" x14ac:dyDescent="0.25">
      <c r="A24" s="111" t="s">
        <v>372</v>
      </c>
      <c r="B24" s="116" t="s">
        <v>234</v>
      </c>
      <c r="C24" s="113">
        <f>2314.7+2500.53</f>
        <v>4815.2299999999996</v>
      </c>
      <c r="D24" s="113">
        <v>4811.7</v>
      </c>
      <c r="E24" s="113">
        <v>3176</v>
      </c>
      <c r="F24" s="113">
        <f>1760.159+3386</f>
        <v>5146.1589999999997</v>
      </c>
      <c r="G24" s="113">
        <f>2081.551+3283</f>
        <v>5364.5509999999995</v>
      </c>
      <c r="H24" s="114">
        <f>3515+1941.2</f>
        <v>5456.2</v>
      </c>
      <c r="I24" s="114">
        <v>5248.3</v>
      </c>
      <c r="J24" s="114">
        <v>4733.8</v>
      </c>
      <c r="K24" s="114">
        <v>5132.1000000000004</v>
      </c>
      <c r="L24" s="114">
        <v>4829.8</v>
      </c>
      <c r="M24" s="230">
        <v>4653.78</v>
      </c>
      <c r="N24" s="230">
        <v>4503.3</v>
      </c>
      <c r="O24" s="230">
        <v>4705.33</v>
      </c>
      <c r="P24" s="230">
        <v>5008.2</v>
      </c>
      <c r="Q24" s="230">
        <v>4719</v>
      </c>
      <c r="R24" s="230">
        <v>5104</v>
      </c>
      <c r="S24" s="230">
        <v>5155.24</v>
      </c>
      <c r="T24" s="231">
        <v>5206.7979999999998</v>
      </c>
    </row>
    <row r="25" spans="1:20" s="96" customFormat="1" ht="15" x14ac:dyDescent="0.25">
      <c r="A25" s="334" t="s">
        <v>373</v>
      </c>
      <c r="B25" s="335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7"/>
    </row>
    <row r="26" spans="1:20" s="96" customFormat="1" ht="15" x14ac:dyDescent="0.25">
      <c r="A26" s="90" t="s">
        <v>225</v>
      </c>
      <c r="B26" s="102" t="s">
        <v>230</v>
      </c>
      <c r="C26" s="118" t="e">
        <f>C29+C31+#REF!</f>
        <v>#REF!</v>
      </c>
      <c r="D26" s="118" t="e">
        <f>D29+D31+#REF!</f>
        <v>#REF!</v>
      </c>
      <c r="E26" s="118" t="e">
        <f>E29+E31+#REF!</f>
        <v>#REF!</v>
      </c>
      <c r="F26" s="118" t="e">
        <f>F29+F31+#REF!</f>
        <v>#REF!</v>
      </c>
      <c r="G26" s="118" t="e">
        <f>G29+G31+#REF!</f>
        <v>#REF!</v>
      </c>
      <c r="H26" s="118" t="e">
        <f>H29+H31+#REF!</f>
        <v>#REF!</v>
      </c>
      <c r="I26" s="118" t="e">
        <f>I29+I31+#REF!</f>
        <v>#REF!</v>
      </c>
      <c r="J26" s="118" t="e">
        <f>J29+J31+#REF!</f>
        <v>#REF!</v>
      </c>
      <c r="K26" s="118">
        <f>K29+K31</f>
        <v>102.4</v>
      </c>
      <c r="L26" s="118">
        <f>L29+L31</f>
        <v>112.81</v>
      </c>
      <c r="M26" s="232">
        <f>M29+M31</f>
        <v>133.53</v>
      </c>
      <c r="N26" s="232">
        <f>N29+N31</f>
        <v>123.848</v>
      </c>
      <c r="O26" s="232">
        <f t="shared" ref="O26:T26" si="6">O29+O31+O33</f>
        <v>127.50000000000001</v>
      </c>
      <c r="P26" s="232">
        <f t="shared" si="6"/>
        <v>98.741</v>
      </c>
      <c r="Q26" s="232">
        <f t="shared" si="6"/>
        <v>109.83799999999999</v>
      </c>
      <c r="R26" s="232">
        <f t="shared" si="6"/>
        <v>123.2</v>
      </c>
      <c r="S26" s="232">
        <f t="shared" si="6"/>
        <v>123.2</v>
      </c>
      <c r="T26" s="232">
        <f t="shared" si="6"/>
        <v>123.2</v>
      </c>
    </row>
    <row r="27" spans="1:20" s="96" customFormat="1" ht="15" x14ac:dyDescent="0.25">
      <c r="A27" s="332" t="s">
        <v>227</v>
      </c>
      <c r="B27" s="333"/>
      <c r="C27" s="109"/>
      <c r="D27" s="109" t="e">
        <f t="shared" ref="D27:J27" si="7">SUM(D26/C26*100)</f>
        <v>#REF!</v>
      </c>
      <c r="E27" s="109" t="e">
        <f t="shared" si="7"/>
        <v>#REF!</v>
      </c>
      <c r="F27" s="109" t="e">
        <f t="shared" si="7"/>
        <v>#REF!</v>
      </c>
      <c r="G27" s="109" t="e">
        <f t="shared" si="7"/>
        <v>#REF!</v>
      </c>
      <c r="H27" s="109" t="e">
        <f t="shared" si="7"/>
        <v>#REF!</v>
      </c>
      <c r="I27" s="119" t="e">
        <f t="shared" si="7"/>
        <v>#REF!</v>
      </c>
      <c r="J27" s="119" t="e">
        <f t="shared" si="7"/>
        <v>#REF!</v>
      </c>
      <c r="K27" s="120" t="e">
        <f>SUM((K26/J26)*100)</f>
        <v>#REF!</v>
      </c>
      <c r="L27" s="120">
        <f>SUM((L26/K26)*100)</f>
        <v>110.16601562499999</v>
      </c>
      <c r="M27" s="233">
        <f>SUM((M26/L26)*100)</f>
        <v>118.36716603138019</v>
      </c>
      <c r="N27" s="233">
        <f>SUM((N26/M26)*100)</f>
        <v>92.749194937467237</v>
      </c>
      <c r="O27" s="369">
        <f>O26/N26*100</f>
        <v>102.94877591886831</v>
      </c>
      <c r="P27" s="221">
        <f>P26/O26*100</f>
        <v>77.443921568627445</v>
      </c>
      <c r="Q27" s="221">
        <f>Q26/P26*100</f>
        <v>111.23849262211239</v>
      </c>
      <c r="R27" s="221">
        <f>R26/Q26*100</f>
        <v>112.16518873249697</v>
      </c>
      <c r="S27" s="226">
        <f>SUM(S26/R26*100)</f>
        <v>100</v>
      </c>
      <c r="T27" s="234">
        <f>SUM(T26/S26*100)</f>
        <v>100</v>
      </c>
    </row>
    <row r="28" spans="1:20" s="96" customFormat="1" ht="15" x14ac:dyDescent="0.25">
      <c r="A28" s="334" t="s">
        <v>236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7"/>
    </row>
    <row r="29" spans="1:20" s="96" customFormat="1" ht="15" x14ac:dyDescent="0.25">
      <c r="A29" s="121" t="s">
        <v>374</v>
      </c>
      <c r="B29" s="122" t="s">
        <v>230</v>
      </c>
      <c r="C29" s="123">
        <f>3.347+6.669+5.35</f>
        <v>15.366</v>
      </c>
      <c r="D29" s="123">
        <f>11.488+12.184+8.1</f>
        <v>31.771999999999998</v>
      </c>
      <c r="E29" s="123">
        <f>8.945+13.078+20.346</f>
        <v>42.369</v>
      </c>
      <c r="F29" s="123">
        <f>20.038+14.913+23.332</f>
        <v>58.283000000000001</v>
      </c>
      <c r="G29" s="123">
        <f>27.952+6.418+14.505</f>
        <v>48.875000000000007</v>
      </c>
      <c r="H29" s="123">
        <v>50.9</v>
      </c>
      <c r="I29" s="123">
        <v>54.109000000000002</v>
      </c>
      <c r="J29" s="123">
        <v>74.712000000000003</v>
      </c>
      <c r="K29" s="123">
        <v>87</v>
      </c>
      <c r="L29" s="123">
        <v>87.182000000000002</v>
      </c>
      <c r="M29" s="93">
        <v>106.435</v>
      </c>
      <c r="N29" s="93">
        <v>91.653999999999996</v>
      </c>
      <c r="O29" s="93">
        <v>82.917000000000002</v>
      </c>
      <c r="P29" s="93">
        <v>70.91</v>
      </c>
      <c r="Q29" s="93">
        <v>79.099999999999994</v>
      </c>
      <c r="R29" s="93">
        <v>89.7</v>
      </c>
      <c r="S29" s="93">
        <v>89.7</v>
      </c>
      <c r="T29" s="235">
        <v>89.7</v>
      </c>
    </row>
    <row r="30" spans="1:20" s="96" customFormat="1" ht="15" x14ac:dyDescent="0.25">
      <c r="A30" s="332" t="s">
        <v>227</v>
      </c>
      <c r="B30" s="333"/>
      <c r="C30" s="123"/>
      <c r="D30" s="124">
        <f t="shared" ref="D30:J30" si="8">SUM(D29/C29*100)</f>
        <v>206.76818950930627</v>
      </c>
      <c r="E30" s="124">
        <f t="shared" si="8"/>
        <v>133.35326702757143</v>
      </c>
      <c r="F30" s="124">
        <f t="shared" si="8"/>
        <v>137.56048054001747</v>
      </c>
      <c r="G30" s="124">
        <f t="shared" si="8"/>
        <v>83.858071821972118</v>
      </c>
      <c r="H30" s="124">
        <f t="shared" si="8"/>
        <v>104.14322250639385</v>
      </c>
      <c r="I30" s="124">
        <f t="shared" si="8"/>
        <v>106.30451866404715</v>
      </c>
      <c r="J30" s="125">
        <f t="shared" si="8"/>
        <v>138.0768448871722</v>
      </c>
      <c r="K30" s="120">
        <f>SUM((K29/J29)*100)</f>
        <v>116.44715708319949</v>
      </c>
      <c r="L30" s="120">
        <f>SUM((L29/K29)*100)</f>
        <v>100.20919540229885</v>
      </c>
      <c r="M30" s="233">
        <f>SUM((M29/L29)*100)</f>
        <v>122.08368699961001</v>
      </c>
      <c r="N30" s="233">
        <f>SUM((N29/M29)*100)</f>
        <v>86.112650913703192</v>
      </c>
      <c r="O30" s="369">
        <f>O29/N29*100</f>
        <v>90.467410042114921</v>
      </c>
      <c r="P30" s="221">
        <f>P29/O29*100</f>
        <v>85.519254193952989</v>
      </c>
      <c r="Q30" s="221">
        <f>Q29/P29*100</f>
        <v>111.54985192497531</v>
      </c>
      <c r="R30" s="221">
        <f>R29/Q29*100</f>
        <v>113.40075853350191</v>
      </c>
      <c r="S30" s="236">
        <f>SUM(S29/R29*100)</f>
        <v>100</v>
      </c>
      <c r="T30" s="237">
        <f>SUM(T29/S29*100)</f>
        <v>100</v>
      </c>
    </row>
    <row r="31" spans="1:20" s="96" customFormat="1" ht="15" x14ac:dyDescent="0.25">
      <c r="A31" s="126" t="s">
        <v>375</v>
      </c>
      <c r="B31" s="122" t="s">
        <v>230</v>
      </c>
      <c r="C31" s="127">
        <f>0.109+0.011+0.414</f>
        <v>0.53400000000000003</v>
      </c>
      <c r="D31" s="128">
        <f>0.29</f>
        <v>0.28999999999999998</v>
      </c>
      <c r="E31" s="128">
        <v>10.467000000000001</v>
      </c>
      <c r="F31" s="128">
        <v>9.0830000000000002</v>
      </c>
      <c r="G31" s="128">
        <v>14.564</v>
      </c>
      <c r="H31" s="128">
        <v>16.64</v>
      </c>
      <c r="I31" s="128">
        <v>15.8</v>
      </c>
      <c r="J31" s="128">
        <v>16.701000000000001</v>
      </c>
      <c r="K31" s="128">
        <v>15.4</v>
      </c>
      <c r="L31" s="128">
        <v>25.628</v>
      </c>
      <c r="M31" s="238">
        <v>27.094999999999999</v>
      </c>
      <c r="N31" s="238">
        <v>32.194000000000003</v>
      </c>
      <c r="O31" s="239">
        <v>43.383000000000003</v>
      </c>
      <c r="P31" s="239">
        <v>24.331</v>
      </c>
      <c r="Q31" s="239">
        <v>26.838000000000001</v>
      </c>
      <c r="R31" s="239">
        <v>30</v>
      </c>
      <c r="S31" s="238">
        <v>30</v>
      </c>
      <c r="T31" s="240">
        <v>30</v>
      </c>
    </row>
    <row r="32" spans="1:20" s="96" customFormat="1" ht="15" x14ac:dyDescent="0.25">
      <c r="A32" s="332" t="s">
        <v>227</v>
      </c>
      <c r="B32" s="333"/>
      <c r="C32" s="128"/>
      <c r="D32" s="129">
        <v>0</v>
      </c>
      <c r="E32" s="129">
        <v>0</v>
      </c>
      <c r="F32" s="125">
        <f>SUM(F31/E31*100)</f>
        <v>86.777491162701821</v>
      </c>
      <c r="G32" s="125">
        <f>SUM(G31/F31*100)</f>
        <v>160.34349884399427</v>
      </c>
      <c r="H32" s="125">
        <f>SUM(H31/G31*100)</f>
        <v>114.25432573468828</v>
      </c>
      <c r="I32" s="125">
        <f>SUM(I31/H31*100)</f>
        <v>94.951923076923066</v>
      </c>
      <c r="J32" s="125">
        <f>SUM(J31/I31*100)</f>
        <v>105.70253164556962</v>
      </c>
      <c r="K32" s="120">
        <f>SUM((K31/J31)*100)</f>
        <v>92.210047302556731</v>
      </c>
      <c r="L32" s="120">
        <f>SUM((L31/K31)*100)</f>
        <v>166.41558441558442</v>
      </c>
      <c r="M32" s="233">
        <f>SUM((M31/L31)*100)</f>
        <v>105.72420789761199</v>
      </c>
      <c r="N32" s="233">
        <f>SUM((N31/M31)*100)</f>
        <v>118.81897028972136</v>
      </c>
      <c r="O32" s="369">
        <f>O31/N31*100</f>
        <v>134.75492327762936</v>
      </c>
      <c r="P32" s="221">
        <f>P31/O31*100</f>
        <v>56.084180439342589</v>
      </c>
      <c r="Q32" s="221">
        <f>Q31/P31*100</f>
        <v>110.30372775471622</v>
      </c>
      <c r="R32" s="221">
        <f>R31/Q31*100</f>
        <v>111.78180192264699</v>
      </c>
      <c r="S32" s="236">
        <f>SUM(S31/R31*100)</f>
        <v>100</v>
      </c>
      <c r="T32" s="237">
        <f>SUM(T31/S31*100)</f>
        <v>100</v>
      </c>
    </row>
    <row r="33" spans="1:20" s="96" customFormat="1" ht="15" x14ac:dyDescent="0.25">
      <c r="A33" s="126" t="s">
        <v>581</v>
      </c>
      <c r="B33" s="122" t="s">
        <v>230</v>
      </c>
      <c r="C33" s="128"/>
      <c r="D33" s="129"/>
      <c r="E33" s="129"/>
      <c r="F33" s="125"/>
      <c r="G33" s="125"/>
      <c r="H33" s="125"/>
      <c r="I33" s="125"/>
      <c r="J33" s="125"/>
      <c r="K33" s="120"/>
      <c r="L33" s="120"/>
      <c r="M33" s="233"/>
      <c r="N33" s="233"/>
      <c r="O33" s="369">
        <v>1.2</v>
      </c>
      <c r="P33" s="369">
        <v>3.5</v>
      </c>
      <c r="Q33" s="369">
        <v>3.9</v>
      </c>
      <c r="R33" s="233">
        <v>3.5</v>
      </c>
      <c r="S33" s="236">
        <v>3.5</v>
      </c>
      <c r="T33" s="370">
        <v>3.5</v>
      </c>
    </row>
    <row r="34" spans="1:20" s="96" customFormat="1" ht="15" x14ac:dyDescent="0.25">
      <c r="A34" s="332" t="s">
        <v>227</v>
      </c>
      <c r="B34" s="333"/>
      <c r="C34" s="128"/>
      <c r="D34" s="129"/>
      <c r="E34" s="129"/>
      <c r="F34" s="125"/>
      <c r="G34" s="125"/>
      <c r="H34" s="125"/>
      <c r="I34" s="125"/>
      <c r="J34" s="125"/>
      <c r="K34" s="120"/>
      <c r="L34" s="120"/>
      <c r="M34" s="233"/>
      <c r="N34" s="233"/>
      <c r="O34" s="369"/>
      <c r="P34" s="221">
        <f>P33/O33*100</f>
        <v>291.66666666666669</v>
      </c>
      <c r="Q34" s="221">
        <f>Q33/P33*100</f>
        <v>111.42857142857143</v>
      </c>
      <c r="R34" s="221">
        <f>R33/Q33*100</f>
        <v>89.743589743589752</v>
      </c>
      <c r="S34" s="236">
        <f>SUM(S33/R33*100)</f>
        <v>100</v>
      </c>
      <c r="T34" s="237">
        <f>SUM(T33/S33*100)</f>
        <v>100</v>
      </c>
    </row>
    <row r="35" spans="1:20" s="96" customFormat="1" ht="28.5" x14ac:dyDescent="0.25">
      <c r="A35" s="130" t="s">
        <v>376</v>
      </c>
      <c r="B35" s="102" t="s">
        <v>237</v>
      </c>
      <c r="C35" s="131">
        <v>4</v>
      </c>
      <c r="D35" s="131">
        <v>4</v>
      </c>
      <c r="E35" s="131">
        <v>4</v>
      </c>
      <c r="F35" s="131">
        <v>4</v>
      </c>
      <c r="G35" s="132">
        <f>G37+G38</f>
        <v>4</v>
      </c>
      <c r="H35" s="132">
        <v>4</v>
      </c>
      <c r="I35" s="132">
        <f>I37+I38</f>
        <v>4</v>
      </c>
      <c r="J35" s="132">
        <f>J37+J38</f>
        <v>4</v>
      </c>
      <c r="K35" s="132">
        <f>K37+K38</f>
        <v>4</v>
      </c>
      <c r="L35" s="133">
        <f>L37+L38</f>
        <v>4</v>
      </c>
      <c r="M35" s="133">
        <f>M37+M38+M39</f>
        <v>4</v>
      </c>
      <c r="N35" s="133">
        <f>N37+N38+N39</f>
        <v>5</v>
      </c>
      <c r="O35" s="133">
        <v>5</v>
      </c>
      <c r="P35" s="133">
        <v>5</v>
      </c>
      <c r="Q35" s="133">
        <v>5</v>
      </c>
      <c r="R35" s="133">
        <f>R37+R38+R39</f>
        <v>5</v>
      </c>
      <c r="S35" s="133">
        <f>S37+S38+S39</f>
        <v>5</v>
      </c>
      <c r="T35" s="133">
        <f>T37+T38+T39</f>
        <v>5</v>
      </c>
    </row>
    <row r="36" spans="1:20" s="96" customFormat="1" ht="15" x14ac:dyDescent="0.25">
      <c r="A36" s="334" t="s">
        <v>236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7"/>
    </row>
    <row r="37" spans="1:20" s="96" customFormat="1" ht="15" x14ac:dyDescent="0.25">
      <c r="A37" s="90" t="s">
        <v>377</v>
      </c>
      <c r="B37" s="91" t="s">
        <v>237</v>
      </c>
      <c r="C37" s="134">
        <v>3</v>
      </c>
      <c r="D37" s="134">
        <v>3</v>
      </c>
      <c r="E37" s="134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92">
        <v>3</v>
      </c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241">
        <v>3</v>
      </c>
    </row>
    <row r="38" spans="1:20" s="96" customFormat="1" ht="15" x14ac:dyDescent="0.25">
      <c r="A38" s="90" t="s">
        <v>238</v>
      </c>
      <c r="B38" s="91" t="s">
        <v>237</v>
      </c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241">
        <v>1</v>
      </c>
    </row>
    <row r="39" spans="1:20" s="96" customFormat="1" ht="15" x14ac:dyDescent="0.25">
      <c r="A39" s="90" t="s">
        <v>433</v>
      </c>
      <c r="B39" s="91" t="s">
        <v>237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92"/>
      <c r="N39" s="92">
        <v>1</v>
      </c>
      <c r="O39" s="92">
        <v>1</v>
      </c>
      <c r="P39" s="92">
        <v>1</v>
      </c>
      <c r="Q39" s="92">
        <v>1</v>
      </c>
      <c r="R39" s="92">
        <v>1</v>
      </c>
      <c r="S39" s="92">
        <v>1</v>
      </c>
      <c r="T39" s="241">
        <v>1</v>
      </c>
    </row>
    <row r="40" spans="1:20" s="96" customFormat="1" ht="15" x14ac:dyDescent="0.25">
      <c r="A40" s="334" t="s">
        <v>231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7"/>
    </row>
    <row r="41" spans="1:20" s="96" customFormat="1" ht="15" x14ac:dyDescent="0.25">
      <c r="A41" s="90" t="s">
        <v>225</v>
      </c>
      <c r="B41" s="102" t="s">
        <v>230</v>
      </c>
      <c r="C41" s="135">
        <f>2.06+7.989</f>
        <v>10.048999999999999</v>
      </c>
      <c r="D41" s="136">
        <v>12.94</v>
      </c>
      <c r="E41" s="137">
        <f>6.1+10.5+3.3</f>
        <v>19.900000000000002</v>
      </c>
      <c r="F41" s="137">
        <f>8.8+2.77+0.263+9</f>
        <v>20.832999999999998</v>
      </c>
      <c r="G41" s="137">
        <f>1.2+8.1+3.5+7.8</f>
        <v>20.599999999999998</v>
      </c>
      <c r="H41" s="137">
        <v>19.43</v>
      </c>
      <c r="I41" s="137">
        <v>20.059999999999999</v>
      </c>
      <c r="J41" s="137">
        <v>24.61</v>
      </c>
      <c r="K41" s="137">
        <v>27.5</v>
      </c>
      <c r="L41" s="138">
        <f t="shared" ref="L41:T41" si="9">L44+L45</f>
        <v>27.1</v>
      </c>
      <c r="M41" s="242">
        <f t="shared" si="9"/>
        <v>29.43</v>
      </c>
      <c r="N41" s="242">
        <f t="shared" si="9"/>
        <v>29.29</v>
      </c>
      <c r="O41" s="242">
        <f>O44+O45</f>
        <v>30.55</v>
      </c>
      <c r="P41" s="242">
        <f>P44+P45</f>
        <v>29.77</v>
      </c>
      <c r="Q41" s="242">
        <f>Q44+Q45</f>
        <v>30.259999999999998</v>
      </c>
      <c r="R41" s="242">
        <f t="shared" si="9"/>
        <v>33.29</v>
      </c>
      <c r="S41" s="242">
        <f t="shared" si="9"/>
        <v>33.29</v>
      </c>
      <c r="T41" s="243">
        <f t="shared" si="9"/>
        <v>33.29</v>
      </c>
    </row>
    <row r="42" spans="1:20" s="96" customFormat="1" ht="15" x14ac:dyDescent="0.25">
      <c r="A42" s="332" t="s">
        <v>227</v>
      </c>
      <c r="B42" s="333"/>
      <c r="C42" s="139"/>
      <c r="D42" s="140">
        <f t="shared" ref="D42:J42" si="10">D41/C41*100</f>
        <v>128.76903174445218</v>
      </c>
      <c r="E42" s="106">
        <f t="shared" si="10"/>
        <v>153.78670788253478</v>
      </c>
      <c r="F42" s="106">
        <f t="shared" si="10"/>
        <v>104.68844221105526</v>
      </c>
      <c r="G42" s="106">
        <f t="shared" si="10"/>
        <v>98.881582105313683</v>
      </c>
      <c r="H42" s="106">
        <f t="shared" si="10"/>
        <v>94.320388349514573</v>
      </c>
      <c r="I42" s="106">
        <f t="shared" si="10"/>
        <v>103.24240864642304</v>
      </c>
      <c r="J42" s="107">
        <f t="shared" si="10"/>
        <v>122.68195413758724</v>
      </c>
      <c r="K42" s="120">
        <f>SUM((K41/J41)*100)</f>
        <v>111.74319382364892</v>
      </c>
      <c r="L42" s="120">
        <f>SUM((L41/K41)*100)</f>
        <v>98.545454545454547</v>
      </c>
      <c r="M42" s="233">
        <f>SUM((M41/L41)*100)</f>
        <v>108.59778597785976</v>
      </c>
      <c r="N42" s="233">
        <f>SUM((N41/M41)*100)</f>
        <v>99.524294937138961</v>
      </c>
      <c r="O42" s="369">
        <f t="shared" ref="O42:T42" si="11">O41/N41*100</f>
        <v>104.30180949129397</v>
      </c>
      <c r="P42" s="221">
        <f t="shared" si="11"/>
        <v>97.446808510638292</v>
      </c>
      <c r="Q42" s="221">
        <f t="shared" si="11"/>
        <v>101.64595230097413</v>
      </c>
      <c r="R42" s="221">
        <f t="shared" si="11"/>
        <v>110.01321877065433</v>
      </c>
      <c r="S42" s="221">
        <f t="shared" si="11"/>
        <v>100</v>
      </c>
      <c r="T42" s="222">
        <f t="shared" si="11"/>
        <v>100</v>
      </c>
    </row>
    <row r="43" spans="1:20" s="96" customFormat="1" ht="15" x14ac:dyDescent="0.25">
      <c r="A43" s="334" t="s">
        <v>236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40"/>
      <c r="S43" s="340"/>
      <c r="T43" s="337"/>
    </row>
    <row r="44" spans="1:20" s="96" customFormat="1" ht="15" x14ac:dyDescent="0.25">
      <c r="A44" s="90" t="s">
        <v>378</v>
      </c>
      <c r="B44" s="91" t="s">
        <v>252</v>
      </c>
      <c r="C44" s="139"/>
      <c r="D44" s="140"/>
      <c r="E44" s="106"/>
      <c r="F44" s="106"/>
      <c r="G44" s="106"/>
      <c r="H44" s="106"/>
      <c r="I44" s="106"/>
      <c r="J44" s="107"/>
      <c r="K44" s="120"/>
      <c r="L44" s="141">
        <v>17.8</v>
      </c>
      <c r="M44" s="244">
        <v>20.25</v>
      </c>
      <c r="N44" s="244">
        <v>21.04</v>
      </c>
      <c r="O44" s="244">
        <v>20.69</v>
      </c>
      <c r="P44" s="244">
        <v>21.09</v>
      </c>
      <c r="Q44" s="244">
        <v>20.58</v>
      </c>
      <c r="R44" s="244">
        <v>22.64</v>
      </c>
      <c r="S44" s="245">
        <v>22.64</v>
      </c>
      <c r="T44" s="246">
        <v>22.64</v>
      </c>
    </row>
    <row r="45" spans="1:20" s="96" customFormat="1" ht="15" x14ac:dyDescent="0.25">
      <c r="A45" s="90" t="s">
        <v>379</v>
      </c>
      <c r="B45" s="91" t="s">
        <v>252</v>
      </c>
      <c r="C45" s="139"/>
      <c r="D45" s="140"/>
      <c r="E45" s="106"/>
      <c r="F45" s="106"/>
      <c r="G45" s="106"/>
      <c r="H45" s="106"/>
      <c r="I45" s="106"/>
      <c r="J45" s="107"/>
      <c r="K45" s="120"/>
      <c r="L45" s="137">
        <v>9.3000000000000007</v>
      </c>
      <c r="M45" s="247">
        <v>9.18</v>
      </c>
      <c r="N45" s="247">
        <v>8.25</v>
      </c>
      <c r="O45" s="247">
        <v>9.86</v>
      </c>
      <c r="P45" s="247">
        <v>8.68</v>
      </c>
      <c r="Q45" s="247">
        <v>9.68</v>
      </c>
      <c r="R45" s="247">
        <v>10.65</v>
      </c>
      <c r="S45" s="247">
        <v>10.65</v>
      </c>
      <c r="T45" s="248">
        <v>10.65</v>
      </c>
    </row>
    <row r="46" spans="1:20" s="88" customFormat="1" ht="15.75" customHeight="1" x14ac:dyDescent="0.2">
      <c r="A46" s="322" t="s">
        <v>380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4"/>
    </row>
    <row r="47" spans="1:20" s="96" customFormat="1" ht="30" x14ac:dyDescent="0.25">
      <c r="A47" s="90" t="s">
        <v>381</v>
      </c>
      <c r="B47" s="91" t="s">
        <v>240</v>
      </c>
      <c r="C47" s="134">
        <v>3.17</v>
      </c>
      <c r="D47" s="134">
        <v>3.17</v>
      </c>
      <c r="E47" s="134">
        <v>3.17</v>
      </c>
      <c r="F47" s="134">
        <v>3.17</v>
      </c>
      <c r="G47" s="134">
        <v>3.17</v>
      </c>
      <c r="H47" s="142">
        <v>3.17</v>
      </c>
      <c r="I47" s="142">
        <v>3.17</v>
      </c>
      <c r="J47" s="142">
        <v>3.17</v>
      </c>
      <c r="K47" s="142">
        <v>3.17</v>
      </c>
      <c r="L47" s="142">
        <v>3.17</v>
      </c>
      <c r="M47" s="249">
        <v>3.17</v>
      </c>
      <c r="N47" s="249">
        <v>3.17</v>
      </c>
      <c r="O47" s="249">
        <v>3.17</v>
      </c>
      <c r="P47" s="249">
        <v>3.17</v>
      </c>
      <c r="Q47" s="249">
        <v>3.17</v>
      </c>
      <c r="R47" s="249">
        <v>3.17</v>
      </c>
      <c r="S47" s="249">
        <v>3.17</v>
      </c>
      <c r="T47" s="250">
        <v>3.17</v>
      </c>
    </row>
    <row r="48" spans="1:20" s="88" customFormat="1" ht="15.75" customHeight="1" x14ac:dyDescent="0.2">
      <c r="A48" s="322" t="s">
        <v>382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4"/>
    </row>
    <row r="49" spans="1:20" s="96" customFormat="1" ht="45" x14ac:dyDescent="0.25">
      <c r="A49" s="305" t="s">
        <v>434</v>
      </c>
      <c r="B49" s="102" t="s">
        <v>237</v>
      </c>
      <c r="C49" s="143">
        <v>17</v>
      </c>
      <c r="D49" s="144">
        <v>17</v>
      </c>
      <c r="E49" s="143" t="e">
        <f>E51+#REF!+#REF!+#REF!</f>
        <v>#REF!</v>
      </c>
      <c r="F49" s="143" t="e">
        <f>F51+#REF!+#REF!+#REF!</f>
        <v>#REF!</v>
      </c>
      <c r="G49" s="143" t="e">
        <f>G51+#REF!+#REF!+#REF!</f>
        <v>#REF!</v>
      </c>
      <c r="H49" s="143" t="e">
        <f>H51+#REF!+#REF!+#REF!</f>
        <v>#REF!</v>
      </c>
      <c r="I49" s="145" t="e">
        <f>I51+#REF!+#REF!+#REF!</f>
        <v>#REF!</v>
      </c>
      <c r="J49" s="145" t="e">
        <f>J51+#REF!+#REF!+#REF!</f>
        <v>#REF!</v>
      </c>
      <c r="K49" s="145" t="e">
        <f>K51+#REF!+#REF!+#REF!</f>
        <v>#REF!</v>
      </c>
      <c r="L49" s="145">
        <v>102</v>
      </c>
      <c r="M49" s="251">
        <v>86</v>
      </c>
      <c r="N49" s="251">
        <v>100</v>
      </c>
      <c r="O49" s="251">
        <f t="shared" ref="O49:T49" si="12">O51+O52</f>
        <v>109</v>
      </c>
      <c r="P49" s="251">
        <f t="shared" si="12"/>
        <v>106</v>
      </c>
      <c r="Q49" s="251">
        <f t="shared" si="12"/>
        <v>107</v>
      </c>
      <c r="R49" s="251">
        <f t="shared" si="12"/>
        <v>110</v>
      </c>
      <c r="S49" s="251">
        <f t="shared" si="12"/>
        <v>112</v>
      </c>
      <c r="T49" s="251">
        <f t="shared" si="12"/>
        <v>114</v>
      </c>
    </row>
    <row r="50" spans="1:20" s="96" customFormat="1" ht="15" x14ac:dyDescent="0.25">
      <c r="A50" s="341" t="s">
        <v>236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7"/>
    </row>
    <row r="51" spans="1:20" s="96" customFormat="1" ht="15" x14ac:dyDescent="0.25">
      <c r="A51" s="90" t="s">
        <v>435</v>
      </c>
      <c r="B51" s="91" t="s">
        <v>436</v>
      </c>
      <c r="C51" s="146">
        <v>4</v>
      </c>
      <c r="D51" s="147">
        <v>3</v>
      </c>
      <c r="E51" s="147">
        <v>4</v>
      </c>
      <c r="F51" s="147">
        <v>4</v>
      </c>
      <c r="G51" s="147">
        <v>4</v>
      </c>
      <c r="H51" s="147">
        <v>4</v>
      </c>
      <c r="I51" s="147">
        <v>4</v>
      </c>
      <c r="J51" s="147">
        <v>4</v>
      </c>
      <c r="K51" s="147"/>
      <c r="L51" s="147"/>
      <c r="M51" s="92">
        <v>32</v>
      </c>
      <c r="N51" s="92">
        <v>32</v>
      </c>
      <c r="O51" s="92">
        <v>30</v>
      </c>
      <c r="P51" s="92">
        <v>32</v>
      </c>
      <c r="Q51" s="92">
        <v>35</v>
      </c>
      <c r="R51" s="92">
        <v>36</v>
      </c>
      <c r="S51" s="92">
        <v>37</v>
      </c>
      <c r="T51" s="241">
        <v>38</v>
      </c>
    </row>
    <row r="52" spans="1:20" s="96" customFormat="1" ht="15" x14ac:dyDescent="0.25">
      <c r="A52" s="90" t="s">
        <v>437</v>
      </c>
      <c r="B52" s="91" t="s">
        <v>436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92">
        <v>54</v>
      </c>
      <c r="N52" s="92">
        <v>68</v>
      </c>
      <c r="O52" s="92">
        <v>79</v>
      </c>
      <c r="P52" s="92">
        <v>74</v>
      </c>
      <c r="Q52" s="92">
        <v>72</v>
      </c>
      <c r="R52" s="92">
        <v>74</v>
      </c>
      <c r="S52" s="92">
        <v>75</v>
      </c>
      <c r="T52" s="241">
        <v>76</v>
      </c>
    </row>
    <row r="53" spans="1:20" s="96" customFormat="1" ht="15" x14ac:dyDescent="0.25">
      <c r="A53" s="90" t="s">
        <v>438</v>
      </c>
      <c r="B53" s="91" t="s">
        <v>436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92">
        <v>4</v>
      </c>
      <c r="N53" s="92">
        <v>4</v>
      </c>
      <c r="O53" s="92">
        <v>4</v>
      </c>
      <c r="P53" s="92">
        <v>4</v>
      </c>
      <c r="Q53" s="92">
        <v>4</v>
      </c>
      <c r="R53" s="92">
        <v>4</v>
      </c>
      <c r="S53" s="92">
        <v>4</v>
      </c>
      <c r="T53" s="241">
        <v>4</v>
      </c>
    </row>
    <row r="54" spans="1:20" s="96" customFormat="1" ht="15" x14ac:dyDescent="0.25">
      <c r="A54" s="90" t="s">
        <v>439</v>
      </c>
      <c r="B54" s="91" t="s">
        <v>436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92">
        <v>82</v>
      </c>
      <c r="N54" s="92">
        <v>96</v>
      </c>
      <c r="O54" s="92">
        <v>105</v>
      </c>
      <c r="P54" s="92">
        <v>102</v>
      </c>
      <c r="Q54" s="92">
        <v>103</v>
      </c>
      <c r="R54" s="92">
        <v>106</v>
      </c>
      <c r="S54" s="92">
        <v>108</v>
      </c>
      <c r="T54" s="241">
        <v>110</v>
      </c>
    </row>
    <row r="55" spans="1:20" s="88" customFormat="1" ht="15.75" customHeight="1" x14ac:dyDescent="0.2">
      <c r="A55" s="322" t="s">
        <v>384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4"/>
    </row>
    <row r="56" spans="1:20" s="96" customFormat="1" ht="15" x14ac:dyDescent="0.25">
      <c r="A56" s="90" t="s">
        <v>385</v>
      </c>
      <c r="B56" s="91" t="s">
        <v>230</v>
      </c>
      <c r="C56" s="134"/>
      <c r="D56" s="134"/>
      <c r="E56" s="134"/>
      <c r="F56" s="134"/>
      <c r="G56" s="134"/>
      <c r="H56" s="142"/>
      <c r="I56" s="142"/>
      <c r="J56" s="142"/>
      <c r="K56" s="142"/>
      <c r="L56" s="206">
        <v>241.91300000000001</v>
      </c>
      <c r="M56" s="252">
        <v>120.78</v>
      </c>
      <c r="N56" s="252">
        <v>607.351</v>
      </c>
      <c r="O56" s="252">
        <v>323.03899999999999</v>
      </c>
      <c r="P56" s="252">
        <v>330.25</v>
      </c>
      <c r="Q56" s="252">
        <v>450</v>
      </c>
      <c r="R56" s="252">
        <v>350</v>
      </c>
      <c r="S56" s="252">
        <v>350</v>
      </c>
      <c r="T56" s="253">
        <v>350</v>
      </c>
    </row>
    <row r="57" spans="1:20" s="96" customFormat="1" ht="15" x14ac:dyDescent="0.25">
      <c r="A57" s="90" t="s">
        <v>386</v>
      </c>
      <c r="B57" s="91" t="s">
        <v>230</v>
      </c>
      <c r="C57" s="134"/>
      <c r="D57" s="134"/>
      <c r="E57" s="134"/>
      <c r="F57" s="134"/>
      <c r="G57" s="134"/>
      <c r="H57" s="142"/>
      <c r="I57" s="142"/>
      <c r="J57" s="142"/>
      <c r="K57" s="142"/>
      <c r="L57" s="142">
        <v>60.838999999999999</v>
      </c>
      <c r="M57" s="252">
        <v>32.515000000000001</v>
      </c>
      <c r="N57" s="252">
        <v>44.344999999999999</v>
      </c>
      <c r="O57" s="252">
        <v>59.98</v>
      </c>
      <c r="P57" s="252">
        <v>25.831</v>
      </c>
      <c r="Q57" s="252">
        <v>155.667</v>
      </c>
      <c r="R57" s="252">
        <v>51.456000000000003</v>
      </c>
      <c r="S57" s="252">
        <v>59.277999999999999</v>
      </c>
      <c r="T57" s="253">
        <v>59.3</v>
      </c>
    </row>
    <row r="58" spans="1:20" s="96" customFormat="1" ht="30" x14ac:dyDescent="0.25">
      <c r="A58" s="90" t="s">
        <v>357</v>
      </c>
      <c r="B58" s="91" t="s">
        <v>230</v>
      </c>
      <c r="C58" s="306"/>
      <c r="D58" s="306"/>
      <c r="E58" s="306"/>
      <c r="F58" s="306"/>
      <c r="G58" s="306"/>
      <c r="H58" s="306"/>
      <c r="I58" s="306"/>
      <c r="J58" s="306"/>
      <c r="K58" s="150">
        <v>0</v>
      </c>
      <c r="L58" s="151">
        <f>6.3+2</f>
        <v>8.3000000000000007</v>
      </c>
      <c r="M58" s="254">
        <v>121.9</v>
      </c>
      <c r="N58" s="254">
        <v>12.4</v>
      </c>
      <c r="O58" s="254">
        <v>22.2</v>
      </c>
      <c r="P58" s="254">
        <v>29.2</v>
      </c>
      <c r="Q58" s="254">
        <v>67.099999999999994</v>
      </c>
      <c r="R58" s="254">
        <v>63.3</v>
      </c>
      <c r="S58" s="254">
        <v>131.69999999999999</v>
      </c>
      <c r="T58" s="255">
        <v>4.2</v>
      </c>
    </row>
    <row r="59" spans="1:20" s="96" customFormat="1" ht="13.5" customHeight="1" x14ac:dyDescent="0.25">
      <c r="A59" s="334" t="s">
        <v>242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7"/>
    </row>
    <row r="60" spans="1:20" s="96" customFormat="1" ht="15" x14ac:dyDescent="0.25">
      <c r="A60" s="101" t="s">
        <v>243</v>
      </c>
      <c r="B60" s="91" t="s">
        <v>230</v>
      </c>
      <c r="C60" s="152">
        <v>62.37</v>
      </c>
      <c r="D60" s="152">
        <v>72.38</v>
      </c>
      <c r="E60" s="134">
        <v>86.5</v>
      </c>
      <c r="F60" s="134">
        <v>41.2</v>
      </c>
      <c r="G60" s="134">
        <v>71.900000000000006</v>
      </c>
      <c r="H60" s="134">
        <v>81.400000000000006</v>
      </c>
      <c r="I60" s="134">
        <f>54.3</f>
        <v>54.3</v>
      </c>
      <c r="J60" s="134">
        <v>65.2</v>
      </c>
      <c r="K60" s="134">
        <v>97.8</v>
      </c>
      <c r="L60" s="134">
        <v>88.34</v>
      </c>
      <c r="M60" s="92">
        <v>73.16</v>
      </c>
      <c r="N60" s="92">
        <v>50.5</v>
      </c>
      <c r="O60" s="92">
        <v>94.43</v>
      </c>
      <c r="P60" s="92">
        <v>79.540000000000006</v>
      </c>
      <c r="Q60" s="92">
        <v>63</v>
      </c>
      <c r="R60" s="230">
        <v>63</v>
      </c>
      <c r="S60" s="256">
        <v>63</v>
      </c>
      <c r="T60" s="257">
        <v>63</v>
      </c>
    </row>
    <row r="61" spans="1:20" s="88" customFormat="1" ht="15.75" customHeight="1" x14ac:dyDescent="0.2">
      <c r="A61" s="322" t="s">
        <v>440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153"/>
    </row>
    <row r="62" spans="1:20" s="96" customFormat="1" ht="15" x14ac:dyDescent="0.25">
      <c r="A62" s="305" t="s">
        <v>387</v>
      </c>
      <c r="B62" s="91" t="s">
        <v>241</v>
      </c>
      <c r="C62" s="134" t="e">
        <f>C63+C64+C65+C67+C68+C69+#REF!+#REF!+#REF!+#REF!+#REF!+#REF!+#REF!</f>
        <v>#REF!</v>
      </c>
      <c r="D62" s="134" t="e">
        <f>D63+D64+D65+D67+D68+D69+#REF!+#REF!+#REF!+#REF!+#REF!+#REF!+#REF!</f>
        <v>#REF!</v>
      </c>
      <c r="E62" s="134" t="e">
        <f>E63+E64+E65+E67+E68+E69+#REF!+#REF!+#REF!+#REF!+#REF!+#REF!+#REF!</f>
        <v>#REF!</v>
      </c>
      <c r="F62" s="134" t="e">
        <f>F63+F64+F65+F67+F68+F69+#REF!+#REF!+#REF!+#REF!+#REF!+#REF!+#REF!</f>
        <v>#REF!</v>
      </c>
      <c r="G62" s="134" t="e">
        <f>G63+G64+G65+G67+G68+G69+#REF!+#REF!+#REF!+#REF!+#REF!+#REF!+#REF!</f>
        <v>#REF!</v>
      </c>
      <c r="H62" s="134" t="e">
        <f>H63+H64+H65+H67+H68+H69+#REF!+#REF!+#REF!+#REF!+#REF!+#REF!+#REF!</f>
        <v>#REF!</v>
      </c>
      <c r="I62" s="134" t="e">
        <f>I63+I64+I65+I67+I68+I69+#REF!+#REF!+#REF!+#REF!+#REF!+#REF!+#REF!</f>
        <v>#REF!</v>
      </c>
      <c r="J62" s="134" t="e">
        <f>J63+J64+J65+J67+J68+J69+#REF!+#REF!+#REF!+#REF!+#REF!+#REF!+#REF!</f>
        <v>#REF!</v>
      </c>
      <c r="K62" s="134" t="e">
        <f>K63+K64+K65+K67+K68+K69+#REF!+#REF!+#REF!+#REF!+#REF!+#REF!+#REF!</f>
        <v>#REF!</v>
      </c>
      <c r="L62" s="134">
        <v>2509</v>
      </c>
      <c r="M62" s="258">
        <v>2361</v>
      </c>
      <c r="N62" s="258">
        <v>2281</v>
      </c>
      <c r="O62" s="258">
        <v>2357</v>
      </c>
      <c r="P62" s="258">
        <v>2397</v>
      </c>
      <c r="Q62" s="258">
        <v>2400</v>
      </c>
      <c r="R62" s="258">
        <v>2400</v>
      </c>
      <c r="S62" s="258">
        <v>2400</v>
      </c>
      <c r="T62" s="258">
        <v>2400</v>
      </c>
    </row>
    <row r="63" spans="1:20" s="96" customFormat="1" ht="15" x14ac:dyDescent="0.25">
      <c r="A63" s="90" t="s">
        <v>388</v>
      </c>
      <c r="B63" s="91" t="s">
        <v>241</v>
      </c>
      <c r="C63" s="134">
        <f>208+130</f>
        <v>338</v>
      </c>
      <c r="D63" s="134">
        <v>320</v>
      </c>
      <c r="E63" s="134">
        <f>127+117</f>
        <v>244</v>
      </c>
      <c r="F63" s="134">
        <f>138+118</f>
        <v>256</v>
      </c>
      <c r="G63" s="134">
        <f>161+126</f>
        <v>287</v>
      </c>
      <c r="H63" s="134">
        <v>290</v>
      </c>
      <c r="I63" s="134">
        <v>255</v>
      </c>
      <c r="J63" s="134">
        <v>244</v>
      </c>
      <c r="K63" s="134">
        <v>285</v>
      </c>
      <c r="L63" s="134">
        <v>268</v>
      </c>
      <c r="M63" s="92">
        <v>251</v>
      </c>
      <c r="N63" s="92">
        <v>262</v>
      </c>
      <c r="O63" s="92">
        <v>263</v>
      </c>
      <c r="P63" s="92">
        <v>251</v>
      </c>
      <c r="Q63" s="92">
        <v>255</v>
      </c>
      <c r="R63" s="92">
        <f>Q63</f>
        <v>255</v>
      </c>
      <c r="S63" s="92">
        <f>Q63</f>
        <v>255</v>
      </c>
      <c r="T63" s="92">
        <f>Q63</f>
        <v>255</v>
      </c>
    </row>
    <row r="64" spans="1:20" s="96" customFormat="1" ht="15" x14ac:dyDescent="0.25">
      <c r="A64" s="90" t="s">
        <v>389</v>
      </c>
      <c r="B64" s="91" t="s">
        <v>241</v>
      </c>
      <c r="C64" s="134">
        <f>51+85</f>
        <v>136</v>
      </c>
      <c r="D64" s="134">
        <v>104</v>
      </c>
      <c r="E64" s="134">
        <v>70</v>
      </c>
      <c r="F64" s="134">
        <f>43+30</f>
        <v>73</v>
      </c>
      <c r="G64" s="134">
        <f>45+21</f>
        <v>66</v>
      </c>
      <c r="H64" s="134">
        <v>66</v>
      </c>
      <c r="I64" s="134">
        <v>77</v>
      </c>
      <c r="J64" s="134">
        <v>107</v>
      </c>
      <c r="K64" s="134">
        <v>143</v>
      </c>
      <c r="L64" s="134">
        <v>587</v>
      </c>
      <c r="M64" s="92">
        <v>125</v>
      </c>
      <c r="N64" s="92">
        <v>110</v>
      </c>
      <c r="O64" s="92">
        <v>103</v>
      </c>
      <c r="P64" s="92">
        <v>94</v>
      </c>
      <c r="Q64" s="92">
        <v>100</v>
      </c>
      <c r="R64" s="249">
        <f t="shared" ref="R64:R69" si="13">Q64</f>
        <v>100</v>
      </c>
      <c r="S64" s="249">
        <f t="shared" ref="S64:S69" si="14">Q64</f>
        <v>100</v>
      </c>
      <c r="T64" s="249">
        <f t="shared" ref="T64:T69" si="15">Q64</f>
        <v>100</v>
      </c>
    </row>
    <row r="65" spans="1:20" s="96" customFormat="1" ht="15" x14ac:dyDescent="0.25">
      <c r="A65" s="90" t="s">
        <v>390</v>
      </c>
      <c r="B65" s="91" t="s">
        <v>241</v>
      </c>
      <c r="C65" s="134" t="e">
        <f>SUM(#REF!+C66)</f>
        <v>#REF!</v>
      </c>
      <c r="D65" s="134" t="e">
        <f>SUM(#REF!+D66)</f>
        <v>#REF!</v>
      </c>
      <c r="E65" s="134" t="e">
        <f>SUM(#REF!+E66)</f>
        <v>#REF!</v>
      </c>
      <c r="F65" s="134" t="e">
        <f>SUM(#REF!+F66)</f>
        <v>#REF!</v>
      </c>
      <c r="G65" s="134" t="e">
        <f>SUM(#REF!+G66)</f>
        <v>#REF!</v>
      </c>
      <c r="H65" s="134" t="e">
        <f>#REF!+H66</f>
        <v>#REF!</v>
      </c>
      <c r="I65" s="134" t="e">
        <f>#REF!+I66</f>
        <v>#REF!</v>
      </c>
      <c r="J65" s="134" t="e">
        <f>#REF!+J66</f>
        <v>#REF!</v>
      </c>
      <c r="K65" s="134" t="e">
        <f>#REF!+K66</f>
        <v>#REF!</v>
      </c>
      <c r="L65" s="134">
        <v>140</v>
      </c>
      <c r="M65" s="92">
        <v>289</v>
      </c>
      <c r="N65" s="92">
        <v>325</v>
      </c>
      <c r="O65" s="92">
        <v>404</v>
      </c>
      <c r="P65" s="92">
        <v>407</v>
      </c>
      <c r="Q65" s="92">
        <v>410</v>
      </c>
      <c r="R65" s="249">
        <f t="shared" si="13"/>
        <v>410</v>
      </c>
      <c r="S65" s="249">
        <f t="shared" si="14"/>
        <v>410</v>
      </c>
      <c r="T65" s="249">
        <f t="shared" si="15"/>
        <v>410</v>
      </c>
    </row>
    <row r="66" spans="1:20" s="96" customFormat="1" ht="30" x14ac:dyDescent="0.25">
      <c r="A66" s="90" t="s">
        <v>391</v>
      </c>
      <c r="B66" s="91" t="s">
        <v>241</v>
      </c>
      <c r="C66" s="134">
        <v>7</v>
      </c>
      <c r="D66" s="134">
        <v>6</v>
      </c>
      <c r="E66" s="134">
        <v>5</v>
      </c>
      <c r="F66" s="134">
        <v>6</v>
      </c>
      <c r="G66" s="134">
        <v>6</v>
      </c>
      <c r="H66" s="134">
        <v>6</v>
      </c>
      <c r="I66" s="134">
        <v>5</v>
      </c>
      <c r="J66" s="134">
        <v>4</v>
      </c>
      <c r="K66" s="134">
        <v>4</v>
      </c>
      <c r="L66" s="134">
        <v>251</v>
      </c>
      <c r="M66" s="92">
        <v>252</v>
      </c>
      <c r="N66" s="92">
        <v>227</v>
      </c>
      <c r="O66" s="249">
        <v>215</v>
      </c>
      <c r="P66" s="249">
        <v>214</v>
      </c>
      <c r="Q66" s="249">
        <v>215</v>
      </c>
      <c r="R66" s="249">
        <f t="shared" si="13"/>
        <v>215</v>
      </c>
      <c r="S66" s="249">
        <f t="shared" si="14"/>
        <v>215</v>
      </c>
      <c r="T66" s="249">
        <f t="shared" si="15"/>
        <v>215</v>
      </c>
    </row>
    <row r="67" spans="1:20" s="96" customFormat="1" ht="15" x14ac:dyDescent="0.25">
      <c r="A67" s="90" t="s">
        <v>93</v>
      </c>
      <c r="B67" s="91" t="s">
        <v>241</v>
      </c>
      <c r="C67" s="134">
        <f>162+309</f>
        <v>471</v>
      </c>
      <c r="D67" s="134">
        <v>485</v>
      </c>
      <c r="E67" s="134">
        <f>349+106</f>
        <v>455</v>
      </c>
      <c r="F67" s="134">
        <f>352+104</f>
        <v>456</v>
      </c>
      <c r="G67" s="134">
        <v>441</v>
      </c>
      <c r="H67" s="134">
        <v>439</v>
      </c>
      <c r="I67" s="134">
        <v>410</v>
      </c>
      <c r="J67" s="134">
        <v>334</v>
      </c>
      <c r="K67" s="134">
        <v>357</v>
      </c>
      <c r="L67" s="134">
        <v>384</v>
      </c>
      <c r="M67" s="92">
        <v>394</v>
      </c>
      <c r="N67" s="92">
        <v>389</v>
      </c>
      <c r="O67" s="92">
        <v>390</v>
      </c>
      <c r="P67" s="92">
        <v>397</v>
      </c>
      <c r="Q67" s="92">
        <v>400</v>
      </c>
      <c r="R67" s="249">
        <f t="shared" si="13"/>
        <v>400</v>
      </c>
      <c r="S67" s="249">
        <f t="shared" si="14"/>
        <v>400</v>
      </c>
      <c r="T67" s="249">
        <f t="shared" si="15"/>
        <v>400</v>
      </c>
    </row>
    <row r="68" spans="1:20" s="96" customFormat="1" ht="15" x14ac:dyDescent="0.25">
      <c r="A68" s="90" t="s">
        <v>480</v>
      </c>
      <c r="B68" s="91" t="s">
        <v>241</v>
      </c>
      <c r="C68" s="134">
        <v>438</v>
      </c>
      <c r="D68" s="134">
        <v>248</v>
      </c>
      <c r="E68" s="134">
        <v>202</v>
      </c>
      <c r="F68" s="134">
        <v>307</v>
      </c>
      <c r="G68" s="134">
        <v>414</v>
      </c>
      <c r="H68" s="134">
        <v>354</v>
      </c>
      <c r="I68" s="134">
        <v>256</v>
      </c>
      <c r="J68" s="134">
        <v>205</v>
      </c>
      <c r="K68" s="134">
        <v>248</v>
      </c>
      <c r="L68" s="134">
        <v>220</v>
      </c>
      <c r="M68" s="92">
        <v>212</v>
      </c>
      <c r="N68" s="92">
        <v>209</v>
      </c>
      <c r="O68" s="92">
        <v>214</v>
      </c>
      <c r="P68" s="92">
        <v>216</v>
      </c>
      <c r="Q68" s="92">
        <v>215</v>
      </c>
      <c r="R68" s="249">
        <f t="shared" si="13"/>
        <v>215</v>
      </c>
      <c r="S68" s="249">
        <f t="shared" si="14"/>
        <v>215</v>
      </c>
      <c r="T68" s="249">
        <f t="shared" si="15"/>
        <v>215</v>
      </c>
    </row>
    <row r="69" spans="1:20" s="96" customFormat="1" ht="30" x14ac:dyDescent="0.25">
      <c r="A69" s="90" t="s">
        <v>392</v>
      </c>
      <c r="B69" s="91" t="s">
        <v>241</v>
      </c>
      <c r="C69" s="134">
        <f>51+85</f>
        <v>136</v>
      </c>
      <c r="D69" s="134">
        <v>104</v>
      </c>
      <c r="E69" s="134">
        <v>70</v>
      </c>
      <c r="F69" s="134">
        <f>43+30</f>
        <v>73</v>
      </c>
      <c r="G69" s="134">
        <f>45+21</f>
        <v>66</v>
      </c>
      <c r="H69" s="134">
        <v>66</v>
      </c>
      <c r="I69" s="134">
        <v>77</v>
      </c>
      <c r="J69" s="134">
        <v>107</v>
      </c>
      <c r="K69" s="134">
        <v>143</v>
      </c>
      <c r="L69" s="134">
        <v>52</v>
      </c>
      <c r="M69" s="92">
        <v>50</v>
      </c>
      <c r="N69" s="92">
        <v>50</v>
      </c>
      <c r="O69" s="92">
        <v>49</v>
      </c>
      <c r="P69" s="92">
        <v>52</v>
      </c>
      <c r="Q69" s="92">
        <v>50</v>
      </c>
      <c r="R69" s="249">
        <f t="shared" si="13"/>
        <v>50</v>
      </c>
      <c r="S69" s="249">
        <f t="shared" si="14"/>
        <v>50</v>
      </c>
      <c r="T69" s="249">
        <f t="shared" si="15"/>
        <v>50</v>
      </c>
    </row>
    <row r="70" spans="1:20" s="96" customFormat="1" ht="18.75" customHeight="1" x14ac:dyDescent="0.25">
      <c r="A70" s="207" t="s">
        <v>441</v>
      </c>
      <c r="B70" s="91" t="s">
        <v>442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>
        <v>83827.5</v>
      </c>
      <c r="M70" s="259">
        <v>87480</v>
      </c>
      <c r="N70" s="259">
        <v>87820.2</v>
      </c>
      <c r="O70" s="259">
        <v>103948.5</v>
      </c>
      <c r="P70" s="259">
        <v>114823.2</v>
      </c>
      <c r="Q70" s="259">
        <v>120000</v>
      </c>
      <c r="R70" s="259">
        <v>125000</v>
      </c>
      <c r="S70" s="259">
        <v>131000</v>
      </c>
      <c r="T70" s="259">
        <v>137000</v>
      </c>
    </row>
    <row r="71" spans="1:20" s="96" customFormat="1" ht="15" x14ac:dyDescent="0.25">
      <c r="A71" s="90" t="s">
        <v>388</v>
      </c>
      <c r="B71" s="91" t="s">
        <v>442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14">
        <v>63768.1</v>
      </c>
      <c r="M71" s="230">
        <v>57235.3</v>
      </c>
      <c r="N71" s="230">
        <v>69861.600000000006</v>
      </c>
      <c r="O71" s="230">
        <v>65937.100000000006</v>
      </c>
      <c r="P71" s="230">
        <v>66828.5</v>
      </c>
      <c r="Q71" s="230">
        <v>70000</v>
      </c>
      <c r="R71" s="230">
        <v>75000</v>
      </c>
      <c r="S71" s="230">
        <v>80000</v>
      </c>
      <c r="T71" s="231">
        <v>80000</v>
      </c>
    </row>
    <row r="72" spans="1:20" s="96" customFormat="1" ht="15" x14ac:dyDescent="0.25">
      <c r="A72" s="90" t="s">
        <v>389</v>
      </c>
      <c r="B72" s="91" t="s">
        <v>442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14">
        <v>113625.8</v>
      </c>
      <c r="M72" s="230">
        <v>100058.3</v>
      </c>
      <c r="N72" s="230">
        <v>77660.899999999994</v>
      </c>
      <c r="O72" s="230">
        <v>105176.2</v>
      </c>
      <c r="P72" s="230">
        <v>99454.399999999994</v>
      </c>
      <c r="Q72" s="230">
        <v>105000</v>
      </c>
      <c r="R72" s="230">
        <v>110000</v>
      </c>
      <c r="S72" s="230">
        <v>115000</v>
      </c>
      <c r="T72" s="231">
        <v>120000</v>
      </c>
    </row>
    <row r="73" spans="1:20" s="96" customFormat="1" ht="15" x14ac:dyDescent="0.25">
      <c r="A73" s="90" t="s">
        <v>390</v>
      </c>
      <c r="B73" s="91" t="s">
        <v>442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14">
        <v>95183.6</v>
      </c>
      <c r="M73" s="230">
        <v>107290.5</v>
      </c>
      <c r="N73" s="230">
        <v>96106</v>
      </c>
      <c r="O73" s="230">
        <v>111651.6</v>
      </c>
      <c r="P73" s="230">
        <v>117689</v>
      </c>
      <c r="Q73" s="230">
        <v>115000</v>
      </c>
      <c r="R73" s="230">
        <v>120000</v>
      </c>
      <c r="S73" s="230">
        <v>125000</v>
      </c>
      <c r="T73" s="231">
        <v>130000</v>
      </c>
    </row>
    <row r="74" spans="1:20" s="96" customFormat="1" ht="15" x14ac:dyDescent="0.25">
      <c r="A74" s="90" t="s">
        <v>93</v>
      </c>
      <c r="B74" s="91" t="s">
        <v>442</v>
      </c>
      <c r="L74" s="210">
        <v>73717.899999999994</v>
      </c>
      <c r="M74" s="260">
        <v>81462</v>
      </c>
      <c r="N74" s="260">
        <v>88087.3</v>
      </c>
      <c r="O74" s="260">
        <v>96321.600000000006</v>
      </c>
      <c r="P74" s="260">
        <v>100819.9</v>
      </c>
      <c r="Q74" s="260">
        <v>105000</v>
      </c>
      <c r="R74" s="260">
        <v>110000</v>
      </c>
      <c r="S74" s="260">
        <v>115000</v>
      </c>
      <c r="T74" s="260">
        <v>120000</v>
      </c>
    </row>
    <row r="75" spans="1:20" s="96" customFormat="1" ht="15" x14ac:dyDescent="0.25">
      <c r="A75" s="90" t="s">
        <v>480</v>
      </c>
      <c r="B75" s="91" t="s">
        <v>442</v>
      </c>
      <c r="L75" s="210">
        <v>76758.399999999994</v>
      </c>
      <c r="M75" s="260">
        <v>89664.5</v>
      </c>
      <c r="N75" s="260">
        <v>94653.2</v>
      </c>
      <c r="O75" s="260">
        <v>106765</v>
      </c>
      <c r="P75" s="260">
        <v>116424.2</v>
      </c>
      <c r="Q75" s="260">
        <v>123000</v>
      </c>
      <c r="R75" s="260">
        <v>128000</v>
      </c>
      <c r="S75" s="260">
        <v>133000</v>
      </c>
      <c r="T75" s="260">
        <v>138000</v>
      </c>
    </row>
    <row r="76" spans="1:20" s="96" customFormat="1" ht="30" x14ac:dyDescent="0.25">
      <c r="A76" s="90" t="s">
        <v>392</v>
      </c>
      <c r="B76" s="91" t="s">
        <v>442</v>
      </c>
      <c r="L76" s="210">
        <v>74398.899999999994</v>
      </c>
      <c r="M76" s="260">
        <v>98365.5</v>
      </c>
      <c r="N76" s="260">
        <v>100078.9</v>
      </c>
      <c r="O76" s="260">
        <v>109131.2</v>
      </c>
      <c r="P76" s="260">
        <v>115011.6</v>
      </c>
      <c r="Q76" s="260">
        <v>119000</v>
      </c>
      <c r="R76" s="260">
        <v>124000</v>
      </c>
      <c r="S76" s="260">
        <v>129000</v>
      </c>
      <c r="T76" s="260">
        <v>134000</v>
      </c>
    </row>
    <row r="77" spans="1:20" s="96" customFormat="1" ht="30" x14ac:dyDescent="0.25">
      <c r="A77" s="90" t="s">
        <v>383</v>
      </c>
      <c r="B77" s="91" t="s">
        <v>442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14">
        <v>65378.5</v>
      </c>
      <c r="M77" s="230">
        <v>80720.800000000003</v>
      </c>
      <c r="N77" s="230">
        <v>89418.2</v>
      </c>
      <c r="O77" s="252">
        <v>96419.5</v>
      </c>
      <c r="P77" s="252">
        <v>108378.9</v>
      </c>
      <c r="Q77" s="252">
        <v>110000</v>
      </c>
      <c r="R77" s="252">
        <v>115000</v>
      </c>
      <c r="S77" s="252">
        <v>120000</v>
      </c>
      <c r="T77" s="253">
        <v>125000</v>
      </c>
    </row>
    <row r="78" spans="1:20" s="96" customFormat="1" ht="15" x14ac:dyDescent="0.25">
      <c r="A78" s="90" t="s">
        <v>244</v>
      </c>
      <c r="B78" s="91" t="s">
        <v>442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14">
        <v>75684.600000000006</v>
      </c>
      <c r="M78" s="230">
        <v>108000.6</v>
      </c>
      <c r="N78" s="230">
        <v>87568.6</v>
      </c>
      <c r="O78" s="230">
        <v>151470.1</v>
      </c>
      <c r="P78" s="230">
        <v>157019.4</v>
      </c>
      <c r="Q78" s="230">
        <v>150000</v>
      </c>
      <c r="R78" s="230">
        <v>155000</v>
      </c>
      <c r="S78" s="230">
        <v>160000</v>
      </c>
      <c r="T78" s="231">
        <v>165000</v>
      </c>
    </row>
    <row r="79" spans="1:20" s="88" customFormat="1" ht="15.75" x14ac:dyDescent="0.2">
      <c r="A79" s="322" t="s">
        <v>393</v>
      </c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4"/>
    </row>
    <row r="80" spans="1:20" s="96" customFormat="1" ht="15" x14ac:dyDescent="0.25">
      <c r="A80" s="130" t="s">
        <v>245</v>
      </c>
      <c r="B80" s="91" t="s">
        <v>230</v>
      </c>
      <c r="C80" s="123" t="e">
        <f t="shared" ref="C80:T80" si="16">SUM(C82+C83+C85)</f>
        <v>#REF!</v>
      </c>
      <c r="D80" s="123" t="e">
        <f t="shared" si="16"/>
        <v>#REF!</v>
      </c>
      <c r="E80" s="123" t="e">
        <f>SUM(E82+E83+E85)</f>
        <v>#REF!</v>
      </c>
      <c r="F80" s="123" t="e">
        <f>SUM(F82+F83+F85)</f>
        <v>#REF!</v>
      </c>
      <c r="G80" s="123" t="e">
        <f t="shared" si="16"/>
        <v>#REF!</v>
      </c>
      <c r="H80" s="154" t="e">
        <f t="shared" si="16"/>
        <v>#REF!</v>
      </c>
      <c r="I80" s="154" t="e">
        <f t="shared" si="16"/>
        <v>#REF!</v>
      </c>
      <c r="J80" s="154" t="e">
        <f t="shared" si="16"/>
        <v>#REF!</v>
      </c>
      <c r="K80" s="154" t="e">
        <f t="shared" si="16"/>
        <v>#REF!</v>
      </c>
      <c r="L80" s="154">
        <f t="shared" si="16"/>
        <v>3143.4989999999998</v>
      </c>
      <c r="M80" s="261">
        <f t="shared" si="16"/>
        <v>3125.1205999999997</v>
      </c>
      <c r="N80" s="261">
        <f t="shared" si="16"/>
        <v>3081.2190000000001</v>
      </c>
      <c r="O80" s="261">
        <f t="shared" si="16"/>
        <v>3672.9319999999998</v>
      </c>
      <c r="P80" s="261">
        <f>SUM(P82+P83+P85)</f>
        <v>4047.9660000000003</v>
      </c>
      <c r="Q80" s="261">
        <f t="shared" si="16"/>
        <v>4272.5079999999998</v>
      </c>
      <c r="R80" s="261">
        <f t="shared" si="16"/>
        <v>4425.9579999999996</v>
      </c>
      <c r="S80" s="261">
        <f t="shared" si="16"/>
        <v>4646.777</v>
      </c>
      <c r="T80" s="262">
        <f t="shared" si="16"/>
        <v>4867.9120000000003</v>
      </c>
    </row>
    <row r="81" spans="1:20" s="96" customFormat="1" ht="15" x14ac:dyDescent="0.25">
      <c r="A81" s="334" t="s">
        <v>246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7"/>
    </row>
    <row r="82" spans="1:20" s="96" customFormat="1" ht="15" x14ac:dyDescent="0.25">
      <c r="A82" s="90" t="s">
        <v>394</v>
      </c>
      <c r="B82" s="91" t="s">
        <v>230</v>
      </c>
      <c r="C82" s="134" t="e">
        <f>#REF!</f>
        <v>#REF!</v>
      </c>
      <c r="D82" s="123" t="e">
        <f>#REF!</f>
        <v>#REF!</v>
      </c>
      <c r="E82" s="123" t="e">
        <f>#REF!</f>
        <v>#REF!</v>
      </c>
      <c r="F82" s="123" t="e">
        <f>#REF!</f>
        <v>#REF!</v>
      </c>
      <c r="G82" s="123" t="e">
        <f>#REF!</f>
        <v>#REF!</v>
      </c>
      <c r="H82" s="123" t="e">
        <f>#REF!</f>
        <v>#REF!</v>
      </c>
      <c r="I82" s="123" t="e">
        <f>#REF!</f>
        <v>#REF!</v>
      </c>
      <c r="J82" s="123" t="e">
        <f>#REF!</f>
        <v>#REF!</v>
      </c>
      <c r="K82" s="123" t="e">
        <f>#REF!</f>
        <v>#REF!</v>
      </c>
      <c r="L82" s="154">
        <v>2523.8789999999999</v>
      </c>
      <c r="M82" s="263">
        <v>2478.4825999999998</v>
      </c>
      <c r="N82" s="263">
        <v>2403.7080000000001</v>
      </c>
      <c r="O82" s="263">
        <v>2940.2049999999999</v>
      </c>
      <c r="P82" s="263">
        <v>3302.7750000000001</v>
      </c>
      <c r="Q82" s="263">
        <v>3480</v>
      </c>
      <c r="R82" s="263">
        <v>3600</v>
      </c>
      <c r="S82" s="263">
        <v>3800</v>
      </c>
      <c r="T82" s="264">
        <v>4000</v>
      </c>
    </row>
    <row r="83" spans="1:20" s="96" customFormat="1" ht="15" x14ac:dyDescent="0.25">
      <c r="A83" s="90" t="s">
        <v>395</v>
      </c>
      <c r="B83" s="91" t="s">
        <v>230</v>
      </c>
      <c r="C83" s="123">
        <f>C84+2.4383</f>
        <v>103.4876</v>
      </c>
      <c r="D83" s="123">
        <v>236.63</v>
      </c>
      <c r="E83" s="123">
        <f>E84+39.27</f>
        <v>237.45200000000003</v>
      </c>
      <c r="F83" s="123">
        <f>F84+61.65</f>
        <v>290.25</v>
      </c>
      <c r="G83" s="123">
        <f>G84+52.87</f>
        <v>411.1</v>
      </c>
      <c r="H83" s="123">
        <f>H84+56.9+17</f>
        <v>477.29999999999995</v>
      </c>
      <c r="I83" s="123">
        <f>I84+100.286+30.983</f>
        <v>558.28499999999997</v>
      </c>
      <c r="J83" s="123">
        <f>J84+73.497+40.213</f>
        <v>573.47799999999995</v>
      </c>
      <c r="K83" s="123">
        <f>K84+82.252+52.986</f>
        <v>604.18099999999993</v>
      </c>
      <c r="L83" s="123">
        <f>L84+82.624</f>
        <v>599.62</v>
      </c>
      <c r="M83" s="93">
        <f>M84+83.826</f>
        <v>625.63800000000003</v>
      </c>
      <c r="N83" s="93">
        <f>N84+93.728</f>
        <v>654.51099999999997</v>
      </c>
      <c r="O83" s="93">
        <f>O84+118.882</f>
        <v>707.72700000000009</v>
      </c>
      <c r="P83" s="93">
        <f>P84+125.077</f>
        <v>713.69100000000003</v>
      </c>
      <c r="Q83" s="93">
        <f>Q84+143.006</f>
        <v>757.50799999999992</v>
      </c>
      <c r="R83" s="93">
        <f>R84+148.146</f>
        <v>790.95799999999997</v>
      </c>
      <c r="S83" s="93">
        <f>S84+151.109</f>
        <v>806.77700000000004</v>
      </c>
      <c r="T83" s="235">
        <f>T84+154.131</f>
        <v>822.91199999999992</v>
      </c>
    </row>
    <row r="84" spans="1:20" s="96" customFormat="1" ht="15" x14ac:dyDescent="0.25">
      <c r="A84" s="90" t="s">
        <v>396</v>
      </c>
      <c r="B84" s="91" t="s">
        <v>230</v>
      </c>
      <c r="C84" s="123">
        <v>101.0493</v>
      </c>
      <c r="D84" s="123">
        <v>233.31</v>
      </c>
      <c r="E84" s="123">
        <f>191.662+6.52</f>
        <v>198.18200000000002</v>
      </c>
      <c r="F84" s="123">
        <v>228.6</v>
      </c>
      <c r="G84" s="123">
        <v>358.23</v>
      </c>
      <c r="H84" s="123">
        <v>403.4</v>
      </c>
      <c r="I84" s="123">
        <v>427.01600000000002</v>
      </c>
      <c r="J84" s="123">
        <v>459.76799999999997</v>
      </c>
      <c r="K84" s="123">
        <v>468.94299999999998</v>
      </c>
      <c r="L84" s="123">
        <f>527.696-10.7</f>
        <v>516.99599999999998</v>
      </c>
      <c r="M84" s="93">
        <v>541.81200000000001</v>
      </c>
      <c r="N84" s="93">
        <v>560.78300000000002</v>
      </c>
      <c r="O84" s="93">
        <v>588.84500000000003</v>
      </c>
      <c r="P84" s="93">
        <v>588.61400000000003</v>
      </c>
      <c r="Q84" s="93">
        <v>614.50199999999995</v>
      </c>
      <c r="R84" s="93">
        <v>642.81200000000001</v>
      </c>
      <c r="S84" s="93">
        <v>655.66800000000001</v>
      </c>
      <c r="T84" s="235">
        <v>668.78099999999995</v>
      </c>
    </row>
    <row r="85" spans="1:20" s="96" customFormat="1" ht="15" x14ac:dyDescent="0.25">
      <c r="A85" s="90" t="s">
        <v>397</v>
      </c>
      <c r="B85" s="91" t="s">
        <v>230</v>
      </c>
      <c r="C85" s="155">
        <v>20</v>
      </c>
      <c r="D85" s="155">
        <v>20</v>
      </c>
      <c r="E85" s="156">
        <v>20</v>
      </c>
      <c r="F85" s="156">
        <f>2.614+2</f>
        <v>4.6139999999999999</v>
      </c>
      <c r="G85" s="156">
        <v>7</v>
      </c>
      <c r="H85" s="156">
        <v>8</v>
      </c>
      <c r="I85" s="156">
        <v>10</v>
      </c>
      <c r="J85" s="156">
        <v>17</v>
      </c>
      <c r="K85" s="156">
        <v>18</v>
      </c>
      <c r="L85" s="156">
        <v>20</v>
      </c>
      <c r="M85" s="265">
        <v>21</v>
      </c>
      <c r="N85" s="265">
        <v>23</v>
      </c>
      <c r="O85" s="265">
        <v>25</v>
      </c>
      <c r="P85" s="265">
        <v>31.5</v>
      </c>
      <c r="Q85" s="265">
        <v>35</v>
      </c>
      <c r="R85" s="265">
        <v>35</v>
      </c>
      <c r="S85" s="265">
        <v>40</v>
      </c>
      <c r="T85" s="266">
        <v>45</v>
      </c>
    </row>
    <row r="86" spans="1:20" s="96" customFormat="1" ht="15" x14ac:dyDescent="0.25">
      <c r="A86" s="90" t="s">
        <v>247</v>
      </c>
      <c r="B86" s="91" t="s">
        <v>248</v>
      </c>
      <c r="C86" s="134">
        <v>9856</v>
      </c>
      <c r="D86" s="157">
        <v>10800</v>
      </c>
      <c r="E86" s="157">
        <v>10961</v>
      </c>
      <c r="F86" s="158">
        <v>11114</v>
      </c>
      <c r="G86" s="158">
        <v>12157</v>
      </c>
      <c r="H86" s="159">
        <v>13381</v>
      </c>
      <c r="I86" s="159">
        <v>14568</v>
      </c>
      <c r="J86" s="159">
        <v>16537</v>
      </c>
      <c r="K86" s="159">
        <v>18072</v>
      </c>
      <c r="L86" s="159">
        <v>20194</v>
      </c>
      <c r="M86" s="267">
        <v>21563</v>
      </c>
      <c r="N86" s="267">
        <v>22213</v>
      </c>
      <c r="O86" s="267">
        <v>23417</v>
      </c>
      <c r="P86" s="267">
        <v>24164</v>
      </c>
      <c r="Q86" s="267">
        <v>30294</v>
      </c>
      <c r="R86" s="267">
        <v>37605</v>
      </c>
      <c r="S86" s="267">
        <v>42551</v>
      </c>
      <c r="T86" s="268">
        <v>47254</v>
      </c>
    </row>
    <row r="87" spans="1:20" s="96" customFormat="1" ht="30" x14ac:dyDescent="0.25">
      <c r="A87" s="90" t="s">
        <v>249</v>
      </c>
      <c r="B87" s="91" t="s">
        <v>228</v>
      </c>
      <c r="C87" s="160" t="s">
        <v>250</v>
      </c>
      <c r="D87" s="160" t="s">
        <v>250</v>
      </c>
      <c r="E87" s="160" t="s">
        <v>251</v>
      </c>
      <c r="F87" s="161">
        <v>0.10199999999999999</v>
      </c>
      <c r="G87" s="161">
        <v>0.1</v>
      </c>
      <c r="H87" s="162">
        <v>9.2999999999999999E-2</v>
      </c>
      <c r="I87" s="162">
        <v>9.1999999999999998E-2</v>
      </c>
      <c r="J87" s="162">
        <v>8.5000000000000006E-2</v>
      </c>
      <c r="K87" s="162">
        <v>8.4000000000000005E-2</v>
      </c>
      <c r="L87" s="162">
        <v>8.3000000000000004E-2</v>
      </c>
      <c r="M87" s="269">
        <v>8.4000000000000005E-2</v>
      </c>
      <c r="N87" s="269">
        <v>8.3000000000000004E-2</v>
      </c>
      <c r="O87" s="269">
        <v>8.3000000000000004E-2</v>
      </c>
      <c r="P87" s="269">
        <v>7.8E-2</v>
      </c>
      <c r="Q87" s="269">
        <v>7.8E-2</v>
      </c>
      <c r="R87" s="269">
        <v>7.5999999999999998E-2</v>
      </c>
      <c r="S87" s="269">
        <v>7.5999999999999998E-2</v>
      </c>
      <c r="T87" s="270">
        <v>7.5999999999999998E-2</v>
      </c>
    </row>
    <row r="88" spans="1:20" s="88" customFormat="1" ht="15.75" x14ac:dyDescent="0.2">
      <c r="A88" s="322" t="s">
        <v>398</v>
      </c>
      <c r="B88" s="345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4"/>
    </row>
    <row r="89" spans="1:20" s="96" customFormat="1" ht="30" x14ac:dyDescent="0.25">
      <c r="A89" s="90" t="s">
        <v>253</v>
      </c>
      <c r="B89" s="91" t="s">
        <v>254</v>
      </c>
      <c r="C89" s="163" t="s">
        <v>239</v>
      </c>
      <c r="D89" s="163">
        <v>0</v>
      </c>
      <c r="E89" s="164" t="s">
        <v>255</v>
      </c>
      <c r="F89" s="164" t="s">
        <v>255</v>
      </c>
      <c r="G89" s="164" t="s">
        <v>256</v>
      </c>
      <c r="H89" s="164" t="s">
        <v>255</v>
      </c>
      <c r="I89" s="164" t="s">
        <v>257</v>
      </c>
      <c r="J89" s="164" t="s">
        <v>255</v>
      </c>
      <c r="K89" s="164" t="s">
        <v>255</v>
      </c>
      <c r="L89" s="164" t="s">
        <v>399</v>
      </c>
      <c r="M89" s="263">
        <v>1226</v>
      </c>
      <c r="N89" s="263">
        <v>0</v>
      </c>
      <c r="O89" s="263">
        <v>0</v>
      </c>
      <c r="P89" s="263">
        <v>143.30000000000001</v>
      </c>
      <c r="Q89" s="263">
        <v>304</v>
      </c>
      <c r="R89" s="263">
        <v>126.7</v>
      </c>
      <c r="S89" s="263">
        <v>0</v>
      </c>
      <c r="T89" s="264">
        <v>0</v>
      </c>
    </row>
    <row r="90" spans="1:20" s="96" customFormat="1" ht="30" x14ac:dyDescent="0.25">
      <c r="A90" s="90" t="s">
        <v>258</v>
      </c>
      <c r="B90" s="91" t="s">
        <v>259</v>
      </c>
      <c r="C90" s="166">
        <v>28.35</v>
      </c>
      <c r="D90" s="166">
        <v>25.26</v>
      </c>
      <c r="E90" s="166">
        <f>(111299.91+31700.9)/E6/1000</f>
        <v>27.098883835512598</v>
      </c>
      <c r="F90" s="166">
        <f>134885.49/F6/1000</f>
        <v>25.202819506726453</v>
      </c>
      <c r="G90" s="166">
        <f>(133855.39+G89)/G6/1000</f>
        <v>26.107350709978608</v>
      </c>
      <c r="H90" s="127">
        <f>(131831.6+H89)/H6/1000</f>
        <v>25.366865499326533</v>
      </c>
      <c r="I90" s="127">
        <f>(123135.42+I89)/I6/1000</f>
        <v>24.201721983600155</v>
      </c>
      <c r="J90" s="127">
        <f>(131831.6+J89)/J6/1000</f>
        <v>27.385043622766929</v>
      </c>
      <c r="K90" s="127">
        <f>(127340.82+K89)/K6/1000</f>
        <v>27.139987212276214</v>
      </c>
      <c r="L90" s="127">
        <f>(122000)/L6/1000</f>
        <v>25.771018166455431</v>
      </c>
      <c r="M90" s="238">
        <f>(120200+M89)/M6/1000</f>
        <v>24.102024612941641</v>
      </c>
      <c r="N90" s="238">
        <f>(122916+N89)/N6/1000</f>
        <v>24.344622697563871</v>
      </c>
      <c r="O90" s="238">
        <f>(119962+O89)/O6/1000</f>
        <v>23.726661392405063</v>
      </c>
      <c r="P90" s="238">
        <f>(119962+P89)/P6/1000</f>
        <v>23.490181889301777</v>
      </c>
      <c r="Q90" s="238">
        <f>(120266+Q89)/Q6/1000</f>
        <v>23.641176470588238</v>
      </c>
      <c r="R90" s="238">
        <f>(120266+R89)/R6/1000</f>
        <v>23.606411764705886</v>
      </c>
      <c r="S90" s="238">
        <f>(120266+S89)/S6/1000</f>
        <v>23.581568627450984</v>
      </c>
      <c r="T90" s="238">
        <f>(120266+T89)/T6/1000</f>
        <v>23.581568627450984</v>
      </c>
    </row>
    <row r="91" spans="1:20" s="96" customFormat="1" ht="17.25" customHeight="1" x14ac:dyDescent="0.25">
      <c r="A91" s="90" t="s">
        <v>260</v>
      </c>
      <c r="B91" s="91" t="s">
        <v>230</v>
      </c>
      <c r="C91" s="164" t="s">
        <v>261</v>
      </c>
      <c r="D91" s="164" t="s">
        <v>262</v>
      </c>
      <c r="E91" s="166">
        <v>590.76790000000005</v>
      </c>
      <c r="F91" s="166">
        <v>616.69039999999995</v>
      </c>
      <c r="G91" s="137">
        <f>E91*105.9%</f>
        <v>625.62320610000017</v>
      </c>
      <c r="H91" s="167">
        <f>732.03/1.18</f>
        <v>620.36440677966107</v>
      </c>
      <c r="I91" s="167">
        <v>606.25199999999995</v>
      </c>
      <c r="J91" s="167">
        <v>504.87</v>
      </c>
      <c r="K91" s="167">
        <v>519.54</v>
      </c>
      <c r="L91" s="167">
        <v>535.21</v>
      </c>
      <c r="M91" s="239">
        <v>531.9</v>
      </c>
      <c r="N91" s="239">
        <v>576.4</v>
      </c>
      <c r="O91" s="239">
        <v>644.70000000000005</v>
      </c>
      <c r="P91" s="239">
        <v>763.8</v>
      </c>
      <c r="Q91" s="239">
        <v>765</v>
      </c>
      <c r="R91" s="239">
        <v>765</v>
      </c>
      <c r="S91" s="239">
        <v>765</v>
      </c>
      <c r="T91" s="271">
        <v>765</v>
      </c>
    </row>
    <row r="92" spans="1:20" s="96" customFormat="1" ht="15" x14ac:dyDescent="0.25">
      <c r="A92" s="90" t="s">
        <v>263</v>
      </c>
      <c r="B92" s="91" t="s">
        <v>228</v>
      </c>
      <c r="C92" s="160" t="s">
        <v>264</v>
      </c>
      <c r="D92" s="160" t="s">
        <v>265</v>
      </c>
      <c r="E92" s="160" t="s">
        <v>266</v>
      </c>
      <c r="F92" s="160" t="s">
        <v>267</v>
      </c>
      <c r="G92" s="160" t="s">
        <v>268</v>
      </c>
      <c r="H92" s="168">
        <v>0.28999999999999998</v>
      </c>
      <c r="I92" s="168">
        <v>0.24</v>
      </c>
      <c r="J92" s="168">
        <v>0.91669999999999996</v>
      </c>
      <c r="K92" s="168">
        <v>0.97599999999999998</v>
      </c>
      <c r="L92" s="162">
        <v>0.87480000000000002</v>
      </c>
      <c r="M92" s="269">
        <v>0.96699999999999997</v>
      </c>
      <c r="N92" s="269">
        <v>0.97299999999999998</v>
      </c>
      <c r="O92" s="269">
        <v>0.97099999999999997</v>
      </c>
      <c r="P92" s="269">
        <v>0.95</v>
      </c>
      <c r="Q92" s="269">
        <v>0.96</v>
      </c>
      <c r="R92" s="269">
        <v>0.96</v>
      </c>
      <c r="S92" s="269">
        <v>0.96</v>
      </c>
      <c r="T92" s="270">
        <v>0.96</v>
      </c>
    </row>
    <row r="93" spans="1:20" s="96" customFormat="1" ht="15" x14ac:dyDescent="0.25">
      <c r="A93" s="90" t="s">
        <v>269</v>
      </c>
      <c r="B93" s="91" t="s">
        <v>241</v>
      </c>
      <c r="C93" s="164" t="s">
        <v>270</v>
      </c>
      <c r="D93" s="164" t="s">
        <v>271</v>
      </c>
      <c r="E93" s="166">
        <f>172+405+49+219+21+101+33+39+199</f>
        <v>1238</v>
      </c>
      <c r="F93" s="166">
        <v>1212</v>
      </c>
      <c r="G93" s="165">
        <f>189+390+537</f>
        <v>1116</v>
      </c>
      <c r="H93" s="165">
        <f>202+506+53+419</f>
        <v>1180</v>
      </c>
      <c r="I93" s="165">
        <f>198+412+483</f>
        <v>1093</v>
      </c>
      <c r="J93" s="165">
        <f>192+361+460</f>
        <v>1013</v>
      </c>
      <c r="K93" s="165">
        <f>195+842</f>
        <v>1037</v>
      </c>
      <c r="L93" s="165">
        <f>200+851</f>
        <v>1051</v>
      </c>
      <c r="M93" s="263">
        <f>195+832</f>
        <v>1027</v>
      </c>
      <c r="N93" s="263">
        <f>205+830</f>
        <v>1035</v>
      </c>
      <c r="O93" s="263">
        <f>222+819</f>
        <v>1041</v>
      </c>
      <c r="P93" s="263">
        <f>206+835</f>
        <v>1041</v>
      </c>
      <c r="Q93" s="263">
        <f>206+828</f>
        <v>1034</v>
      </c>
      <c r="R93" s="263">
        <f>204+837</f>
        <v>1041</v>
      </c>
      <c r="S93" s="263">
        <f>204+837</f>
        <v>1041</v>
      </c>
      <c r="T93" s="263">
        <f>204+837</f>
        <v>1041</v>
      </c>
    </row>
    <row r="94" spans="1:20" s="96" customFormat="1" ht="15" x14ac:dyDescent="0.25">
      <c r="A94" s="90" t="s">
        <v>272</v>
      </c>
      <c r="B94" s="91" t="s">
        <v>241</v>
      </c>
      <c r="C94" s="164"/>
      <c r="D94" s="164"/>
      <c r="E94" s="164"/>
      <c r="F94" s="164"/>
      <c r="G94" s="164"/>
      <c r="H94" s="164" t="s">
        <v>273</v>
      </c>
      <c r="I94" s="164" t="s">
        <v>274</v>
      </c>
      <c r="J94" s="164" t="s">
        <v>275</v>
      </c>
      <c r="K94" s="164" t="s">
        <v>358</v>
      </c>
      <c r="L94" s="164" t="s">
        <v>400</v>
      </c>
      <c r="M94" s="272" t="s">
        <v>443</v>
      </c>
      <c r="N94" s="272" t="s">
        <v>481</v>
      </c>
      <c r="O94" s="272" t="s">
        <v>582</v>
      </c>
      <c r="P94" s="272" t="s">
        <v>583</v>
      </c>
      <c r="Q94" s="272" t="s">
        <v>584</v>
      </c>
      <c r="R94" s="272" t="s">
        <v>584</v>
      </c>
      <c r="S94" s="272" t="s">
        <v>584</v>
      </c>
      <c r="T94" s="272" t="s">
        <v>584</v>
      </c>
    </row>
    <row r="95" spans="1:20" s="96" customFormat="1" ht="15" x14ac:dyDescent="0.25">
      <c r="A95" s="334" t="s">
        <v>276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46"/>
    </row>
    <row r="96" spans="1:20" s="96" customFormat="1" ht="15" x14ac:dyDescent="0.25">
      <c r="A96" s="90" t="s">
        <v>401</v>
      </c>
      <c r="B96" s="91" t="s">
        <v>277</v>
      </c>
      <c r="C96" s="156">
        <v>22.5</v>
      </c>
      <c r="D96" s="156">
        <v>11</v>
      </c>
      <c r="E96" s="156">
        <v>11</v>
      </c>
      <c r="F96" s="156">
        <f>62/F6</f>
        <v>11.584454409566517</v>
      </c>
      <c r="G96" s="156">
        <f>62/G6</f>
        <v>12.059910523244504</v>
      </c>
      <c r="H96" s="169">
        <f>62/H6</f>
        <v>11.929959592072349</v>
      </c>
      <c r="I96" s="169">
        <f>52/I6</f>
        <v>10.152284263959391</v>
      </c>
      <c r="J96" s="169">
        <f>52/J6</f>
        <v>10.80182800166182</v>
      </c>
      <c r="K96" s="169">
        <f>52/K6</f>
        <v>11.082693947144074</v>
      </c>
      <c r="L96" s="169">
        <f>52/L6</f>
        <v>10.984368398817068</v>
      </c>
      <c r="M96" s="273">
        <f>52/M6</f>
        <v>10.321556173084558</v>
      </c>
      <c r="N96" s="273">
        <f>54/N6</f>
        <v>10.695187165775399</v>
      </c>
      <c r="O96" s="273">
        <f>57/O6</f>
        <v>11.273734177215189</v>
      </c>
      <c r="P96" s="273">
        <f>55/P6</f>
        <v>10.756894191277135</v>
      </c>
      <c r="Q96" s="273">
        <f>53/Q6</f>
        <v>10.392156862745098</v>
      </c>
      <c r="R96" s="273">
        <f>55/R6</f>
        <v>10.784313725490197</v>
      </c>
      <c r="S96" s="273">
        <f>55/S6</f>
        <v>10.784313725490197</v>
      </c>
      <c r="T96" s="274">
        <f>55/T6</f>
        <v>10.784313725490197</v>
      </c>
    </row>
    <row r="97" spans="1:20" s="96" customFormat="1" ht="15" x14ac:dyDescent="0.25">
      <c r="A97" s="101" t="s">
        <v>402</v>
      </c>
      <c r="B97" s="91" t="s">
        <v>278</v>
      </c>
      <c r="C97" s="156">
        <v>63.6</v>
      </c>
      <c r="D97" s="156">
        <v>42</v>
      </c>
      <c r="E97" s="156">
        <f>132.1/4.937</f>
        <v>26.75713996354061</v>
      </c>
      <c r="F97" s="170">
        <f>143/2.983</f>
        <v>47.938317130405629</v>
      </c>
      <c r="G97" s="170">
        <f>150/2.734</f>
        <v>54.864667154352595</v>
      </c>
      <c r="H97" s="171">
        <f>183.2/3.414</f>
        <v>53.661394258933797</v>
      </c>
      <c r="I97" s="171">
        <f>185.2/3.469</f>
        <v>53.387143268953587</v>
      </c>
      <c r="J97" s="171">
        <f>242.2/3.231</f>
        <v>74.961312287217581</v>
      </c>
      <c r="K97" s="171">
        <f>237/3.405</f>
        <v>69.603524229074893</v>
      </c>
      <c r="L97" s="171">
        <f>237/3.785</f>
        <v>62.615587846763539</v>
      </c>
      <c r="M97" s="275">
        <f>222/3.785</f>
        <v>58.652575957727869</v>
      </c>
      <c r="N97" s="275">
        <f>260/4.133</f>
        <v>62.908299056375512</v>
      </c>
      <c r="O97" s="275">
        <f>(203+9)/4.139</f>
        <v>51.220101473785938</v>
      </c>
      <c r="P97" s="275">
        <f>(205+10)/4.243</f>
        <v>50.67169455573886</v>
      </c>
      <c r="Q97" s="275">
        <f>(205+10)/4.243</f>
        <v>50.67169455573886</v>
      </c>
      <c r="R97" s="275">
        <f>(205+10)/4.243</f>
        <v>50.67169455573886</v>
      </c>
      <c r="S97" s="275">
        <f>(205+10)/4.243</f>
        <v>50.67169455573886</v>
      </c>
      <c r="T97" s="275">
        <f>(205+10)/4.243</f>
        <v>50.67169455573886</v>
      </c>
    </row>
    <row r="98" spans="1:20" s="96" customFormat="1" ht="15" x14ac:dyDescent="0.25">
      <c r="A98" s="101" t="s">
        <v>403</v>
      </c>
      <c r="B98" s="91" t="s">
        <v>278</v>
      </c>
      <c r="C98" s="156">
        <v>4</v>
      </c>
      <c r="D98" s="156">
        <v>4</v>
      </c>
      <c r="E98" s="156">
        <f>11.8/0.34</f>
        <v>34.705882352941174</v>
      </c>
      <c r="F98" s="156">
        <f>24.4/0.742</f>
        <v>32.884097035040426</v>
      </c>
      <c r="G98" s="156">
        <f>22.4/((176+376+211+159)/1000)</f>
        <v>24.295010845986983</v>
      </c>
      <c r="H98" s="172">
        <f>29.6/((367+175+157+210)/1000)</f>
        <v>32.563256325632565</v>
      </c>
      <c r="I98" s="172">
        <f>28.1/((350+169+159+208)/1000)</f>
        <v>31.715575620767495</v>
      </c>
      <c r="J98" s="172">
        <f>33.1/0.85</f>
        <v>38.941176470588239</v>
      </c>
      <c r="K98" s="172">
        <f>28.8/0.782</f>
        <v>36.828644501278774</v>
      </c>
      <c r="L98" s="172">
        <f>31/0.809</f>
        <v>38.318912237330032</v>
      </c>
      <c r="M98" s="276">
        <f>28.2/0.809</f>
        <v>34.857849196538936</v>
      </c>
      <c r="N98" s="276">
        <f>3/0.799</f>
        <v>3.7546933667083855</v>
      </c>
      <c r="O98" s="276">
        <f>4/0.793</f>
        <v>5.0441361916771754</v>
      </c>
      <c r="P98" s="276">
        <f>4/0.749</f>
        <v>5.3404539385847798</v>
      </c>
      <c r="Q98" s="276">
        <f>4/0.749</f>
        <v>5.3404539385847798</v>
      </c>
      <c r="R98" s="276">
        <f>4/0.749</f>
        <v>5.3404539385847798</v>
      </c>
      <c r="S98" s="276">
        <f>4/0.749</f>
        <v>5.3404539385847798</v>
      </c>
      <c r="T98" s="276">
        <f>4/0.749</f>
        <v>5.3404539385847798</v>
      </c>
    </row>
    <row r="99" spans="1:20" s="96" customFormat="1" ht="15" x14ac:dyDescent="0.25">
      <c r="A99" s="101" t="s">
        <v>404</v>
      </c>
      <c r="B99" s="91" t="s">
        <v>279</v>
      </c>
      <c r="C99" s="156">
        <v>5.8</v>
      </c>
      <c r="D99" s="156">
        <v>4</v>
      </c>
      <c r="E99" s="156">
        <f>26/E6</f>
        <v>4.9270418798559783</v>
      </c>
      <c r="F99" s="156">
        <f>25/F6</f>
        <v>4.6711509715994017</v>
      </c>
      <c r="G99" s="156">
        <f>29/G6</f>
        <v>5.6409258899046879</v>
      </c>
      <c r="H99" s="156">
        <f>29/H6</f>
        <v>5.580142389840292</v>
      </c>
      <c r="I99" s="156">
        <f>28/I6</f>
        <v>5.4666146036704415</v>
      </c>
      <c r="J99" s="156">
        <f>26/J6</f>
        <v>5.4009140008309098</v>
      </c>
      <c r="K99" s="156">
        <f>28/K6</f>
        <v>5.9676044330775788</v>
      </c>
      <c r="L99" s="156">
        <f>30/L6</f>
        <v>6.3371356147021549</v>
      </c>
      <c r="M99" s="265">
        <f>29/M6</f>
        <v>5.7562524811433109</v>
      </c>
      <c r="N99" s="265">
        <v>3</v>
      </c>
      <c r="O99" s="265">
        <f>26/O6</f>
        <v>5.1424050632911396</v>
      </c>
      <c r="P99" s="265">
        <f>29/P6</f>
        <v>5.6718169372188534</v>
      </c>
      <c r="Q99" s="265">
        <f>32/Q6</f>
        <v>6.2745098039215694</v>
      </c>
      <c r="R99" s="265">
        <f>33/R6</f>
        <v>6.4705882352941178</v>
      </c>
      <c r="S99" s="265">
        <f>33/S6</f>
        <v>6.4705882352941178</v>
      </c>
      <c r="T99" s="266">
        <f>33/T6</f>
        <v>6.4705882352941178</v>
      </c>
    </row>
    <row r="100" spans="1:20" s="96" customFormat="1" ht="15" x14ac:dyDescent="0.25">
      <c r="A100" s="101" t="s">
        <v>405</v>
      </c>
      <c r="B100" s="91" t="s">
        <v>279</v>
      </c>
      <c r="C100" s="156">
        <v>17.3</v>
      </c>
      <c r="D100" s="156">
        <v>11</v>
      </c>
      <c r="E100" s="156">
        <f>96/E6</f>
        <v>18.192154633314384</v>
      </c>
      <c r="F100" s="156">
        <f>85/F6</f>
        <v>15.881913303437965</v>
      </c>
      <c r="G100" s="156">
        <f>83/G6</f>
        <v>16.144718926278934</v>
      </c>
      <c r="H100" s="156">
        <f>85/H6</f>
        <v>16.355589763324996</v>
      </c>
      <c r="I100" s="156">
        <f>86/I6</f>
        <v>16.790316282702069</v>
      </c>
      <c r="J100" s="156">
        <f>84/J6</f>
        <v>17.449106771915247</v>
      </c>
      <c r="K100" s="156">
        <f>84/K6</f>
        <v>17.902813299232736</v>
      </c>
      <c r="L100" s="156">
        <f>81/L6</f>
        <v>17.110266159695819</v>
      </c>
      <c r="M100" s="265">
        <f>80/M6</f>
        <v>15.879317189360856</v>
      </c>
      <c r="N100" s="265">
        <f>80/N6</f>
        <v>15.844721727074667</v>
      </c>
      <c r="O100" s="265">
        <f>81/O6</f>
        <v>16.020569620253163</v>
      </c>
      <c r="P100" s="265">
        <f>74/P6</f>
        <v>14.472912184627418</v>
      </c>
      <c r="Q100" s="265">
        <f>75/Q6</f>
        <v>14.705882352941178</v>
      </c>
      <c r="R100" s="265">
        <f>80/R6</f>
        <v>15.686274509803923</v>
      </c>
      <c r="S100" s="265">
        <f>80/S6</f>
        <v>15.686274509803923</v>
      </c>
      <c r="T100" s="266">
        <f>80/T6</f>
        <v>15.686274509803923</v>
      </c>
    </row>
    <row r="101" spans="1:20" s="96" customFormat="1" ht="15" x14ac:dyDescent="0.25">
      <c r="A101" s="101" t="s">
        <v>406</v>
      </c>
      <c r="B101" s="91" t="s">
        <v>280</v>
      </c>
      <c r="C101" s="156">
        <v>2</v>
      </c>
      <c r="D101" s="156">
        <v>2</v>
      </c>
      <c r="E101" s="156">
        <v>2</v>
      </c>
      <c r="F101" s="156">
        <f>9/F6</f>
        <v>1.6816143497757847</v>
      </c>
      <c r="G101" s="172">
        <f t="shared" ref="G101:T101" si="17">7/G6</f>
        <v>1.3616028010114765</v>
      </c>
      <c r="H101" s="172">
        <f t="shared" si="17"/>
        <v>1.3469309216855878</v>
      </c>
      <c r="I101" s="172">
        <f t="shared" si="17"/>
        <v>1.3666536509176104</v>
      </c>
      <c r="J101" s="172">
        <f t="shared" si="17"/>
        <v>1.4540922309929372</v>
      </c>
      <c r="K101" s="172">
        <f t="shared" si="17"/>
        <v>1.4919011082693947</v>
      </c>
      <c r="L101" s="172">
        <f t="shared" si="17"/>
        <v>1.478664976763836</v>
      </c>
      <c r="M101" s="276">
        <f t="shared" si="17"/>
        <v>1.3894402540690749</v>
      </c>
      <c r="N101" s="276">
        <f t="shared" si="17"/>
        <v>1.3864131511190334</v>
      </c>
      <c r="O101" s="276">
        <f t="shared" si="17"/>
        <v>1.384493670886076</v>
      </c>
      <c r="P101" s="276">
        <f t="shared" si="17"/>
        <v>1.369059260707999</v>
      </c>
      <c r="Q101" s="276">
        <f t="shared" si="17"/>
        <v>1.3725490196078431</v>
      </c>
      <c r="R101" s="276">
        <f t="shared" si="17"/>
        <v>1.3725490196078431</v>
      </c>
      <c r="S101" s="276">
        <f t="shared" si="17"/>
        <v>1.3725490196078431</v>
      </c>
      <c r="T101" s="277">
        <f t="shared" si="17"/>
        <v>1.3725490196078431</v>
      </c>
    </row>
    <row r="102" spans="1:20" s="96" customFormat="1" ht="15" x14ac:dyDescent="0.25">
      <c r="A102" s="101" t="s">
        <v>407</v>
      </c>
      <c r="B102" s="91" t="s">
        <v>280</v>
      </c>
      <c r="C102" s="156">
        <v>1.75</v>
      </c>
      <c r="D102" s="156">
        <v>1.75</v>
      </c>
      <c r="E102" s="156">
        <v>1.75</v>
      </c>
      <c r="F102" s="156">
        <f>8/F6</f>
        <v>1.4947683109118086</v>
      </c>
      <c r="G102" s="172">
        <f t="shared" ref="G102:T102" si="18">7/G6</f>
        <v>1.3616028010114765</v>
      </c>
      <c r="H102" s="172">
        <f t="shared" si="18"/>
        <v>1.3469309216855878</v>
      </c>
      <c r="I102" s="172">
        <f>7/I6</f>
        <v>1.3666536509176104</v>
      </c>
      <c r="J102" s="172">
        <f t="shared" si="18"/>
        <v>1.4540922309929372</v>
      </c>
      <c r="K102" s="172">
        <f t="shared" si="18"/>
        <v>1.4919011082693947</v>
      </c>
      <c r="L102" s="172">
        <f t="shared" si="18"/>
        <v>1.478664976763836</v>
      </c>
      <c r="M102" s="276">
        <f t="shared" si="18"/>
        <v>1.3894402540690749</v>
      </c>
      <c r="N102" s="276">
        <f t="shared" si="18"/>
        <v>1.3864131511190334</v>
      </c>
      <c r="O102" s="276">
        <f t="shared" si="18"/>
        <v>1.384493670886076</v>
      </c>
      <c r="P102" s="276">
        <f t="shared" si="18"/>
        <v>1.369059260707999</v>
      </c>
      <c r="Q102" s="276">
        <f t="shared" si="18"/>
        <v>1.3725490196078431</v>
      </c>
      <c r="R102" s="276">
        <f t="shared" si="18"/>
        <v>1.3725490196078431</v>
      </c>
      <c r="S102" s="276">
        <f t="shared" si="18"/>
        <v>1.3725490196078431</v>
      </c>
      <c r="T102" s="277">
        <f t="shared" si="18"/>
        <v>1.3725490196078431</v>
      </c>
    </row>
    <row r="103" spans="1:20" s="96" customFormat="1" ht="30" x14ac:dyDescent="0.25">
      <c r="A103" s="90" t="s">
        <v>281</v>
      </c>
      <c r="B103" s="91" t="s">
        <v>282</v>
      </c>
      <c r="C103" s="160" t="s">
        <v>283</v>
      </c>
      <c r="D103" s="160" t="s">
        <v>283</v>
      </c>
      <c r="E103" s="160" t="s">
        <v>283</v>
      </c>
      <c r="F103" s="160" t="s">
        <v>283</v>
      </c>
      <c r="G103" s="173" t="s">
        <v>283</v>
      </c>
      <c r="H103" s="173" t="s">
        <v>283</v>
      </c>
      <c r="I103" s="173" t="s">
        <v>283</v>
      </c>
      <c r="J103" s="173" t="s">
        <v>283</v>
      </c>
      <c r="K103" s="173" t="s">
        <v>283</v>
      </c>
      <c r="L103" s="173" t="s">
        <v>283</v>
      </c>
      <c r="M103" s="278" t="s">
        <v>283</v>
      </c>
      <c r="N103" s="278" t="s">
        <v>283</v>
      </c>
      <c r="O103" s="278" t="s">
        <v>283</v>
      </c>
      <c r="P103" s="278" t="s">
        <v>283</v>
      </c>
      <c r="Q103" s="278" t="s">
        <v>283</v>
      </c>
      <c r="R103" s="278" t="s">
        <v>283</v>
      </c>
      <c r="S103" s="278" t="s">
        <v>283</v>
      </c>
      <c r="T103" s="279" t="s">
        <v>283</v>
      </c>
    </row>
    <row r="104" spans="1:20" s="88" customFormat="1" ht="18.75" customHeight="1" x14ac:dyDescent="0.2">
      <c r="A104" s="322" t="s">
        <v>408</v>
      </c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4"/>
    </row>
    <row r="105" spans="1:20" s="96" customFormat="1" ht="15" x14ac:dyDescent="0.25">
      <c r="A105" s="174" t="s">
        <v>285</v>
      </c>
      <c r="B105" s="91" t="s">
        <v>286</v>
      </c>
      <c r="C105" s="137">
        <v>67.91</v>
      </c>
      <c r="D105" s="137">
        <f t="shared" ref="D105:T105" si="19">SUM(D107+D108)</f>
        <v>89.86</v>
      </c>
      <c r="E105" s="137">
        <f>SUM(E107+E108)</f>
        <v>90.25200000000001</v>
      </c>
      <c r="F105" s="137">
        <f>SUM(F107+F108)</f>
        <v>82.804000000000002</v>
      </c>
      <c r="G105" s="137">
        <f t="shared" si="19"/>
        <v>74.045000000000002</v>
      </c>
      <c r="H105" s="137">
        <f t="shared" si="19"/>
        <v>81.573000000000008</v>
      </c>
      <c r="I105" s="175">
        <f t="shared" si="19"/>
        <v>79.580000000000013</v>
      </c>
      <c r="J105" s="175">
        <f t="shared" si="19"/>
        <v>78.180000000000007</v>
      </c>
      <c r="K105" s="175">
        <f t="shared" si="19"/>
        <v>71.599999999999994</v>
      </c>
      <c r="L105" s="175">
        <f t="shared" si="19"/>
        <v>73.3</v>
      </c>
      <c r="M105" s="280">
        <f t="shared" si="19"/>
        <v>74</v>
      </c>
      <c r="N105" s="280">
        <f t="shared" si="19"/>
        <v>79.800000000000011</v>
      </c>
      <c r="O105" s="280">
        <f t="shared" si="19"/>
        <v>78.7</v>
      </c>
      <c r="P105" s="280">
        <f t="shared" si="19"/>
        <v>82.039999999999992</v>
      </c>
      <c r="Q105" s="280">
        <f t="shared" si="19"/>
        <v>79.3</v>
      </c>
      <c r="R105" s="280">
        <f t="shared" si="19"/>
        <v>81.97</v>
      </c>
      <c r="S105" s="280">
        <f t="shared" si="19"/>
        <v>82.86</v>
      </c>
      <c r="T105" s="281">
        <f t="shared" si="19"/>
        <v>83.69</v>
      </c>
    </row>
    <row r="106" spans="1:20" s="96" customFormat="1" ht="15" x14ac:dyDescent="0.25">
      <c r="A106" s="334" t="s">
        <v>409</v>
      </c>
      <c r="B106" s="336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7"/>
    </row>
    <row r="107" spans="1:20" s="96" customFormat="1" ht="15" x14ac:dyDescent="0.25">
      <c r="A107" s="90" t="s">
        <v>287</v>
      </c>
      <c r="B107" s="91" t="s">
        <v>286</v>
      </c>
      <c r="C107" s="176">
        <v>52.2806</v>
      </c>
      <c r="D107" s="177">
        <v>76.52</v>
      </c>
      <c r="E107" s="176">
        <v>76.132000000000005</v>
      </c>
      <c r="F107" s="176">
        <v>70.33</v>
      </c>
      <c r="G107" s="176">
        <v>61.095999999999997</v>
      </c>
      <c r="H107" s="176">
        <v>70.483000000000004</v>
      </c>
      <c r="I107" s="178">
        <v>68.540000000000006</v>
      </c>
      <c r="J107" s="178">
        <v>68.23</v>
      </c>
      <c r="K107" s="178">
        <v>61</v>
      </c>
      <c r="L107" s="178">
        <v>63.18</v>
      </c>
      <c r="M107" s="282">
        <v>64.3</v>
      </c>
      <c r="N107" s="282">
        <v>69.900000000000006</v>
      </c>
      <c r="O107" s="282">
        <v>69.2</v>
      </c>
      <c r="P107" s="282">
        <v>72.739999999999995</v>
      </c>
      <c r="Q107" s="282">
        <v>70.599999999999994</v>
      </c>
      <c r="R107" s="282">
        <v>72.97</v>
      </c>
      <c r="S107" s="282">
        <v>73.7</v>
      </c>
      <c r="T107" s="283">
        <v>74.44</v>
      </c>
    </row>
    <row r="108" spans="1:20" s="96" customFormat="1" ht="15" x14ac:dyDescent="0.25">
      <c r="A108" s="90" t="s">
        <v>288</v>
      </c>
      <c r="B108" s="91" t="s">
        <v>286</v>
      </c>
      <c r="C108" s="137">
        <v>15.6325</v>
      </c>
      <c r="D108" s="137">
        <v>13.34</v>
      </c>
      <c r="E108" s="137">
        <f>13.396+0.724</f>
        <v>14.120000000000001</v>
      </c>
      <c r="F108" s="137">
        <f>12.421+0.053</f>
        <v>12.474</v>
      </c>
      <c r="G108" s="137">
        <f>0.02+12.929</f>
        <v>12.949</v>
      </c>
      <c r="H108" s="137">
        <f>11+0.03+0.06</f>
        <v>11.09</v>
      </c>
      <c r="I108" s="179">
        <f>11.04</f>
        <v>11.04</v>
      </c>
      <c r="J108" s="179">
        <v>9.9499999999999993</v>
      </c>
      <c r="K108" s="179">
        <v>10.6</v>
      </c>
      <c r="L108" s="179">
        <v>10.119999999999999</v>
      </c>
      <c r="M108" s="230">
        <v>9.6999999999999993</v>
      </c>
      <c r="N108" s="230">
        <v>9.9</v>
      </c>
      <c r="O108" s="260">
        <v>9.5</v>
      </c>
      <c r="P108" s="260">
        <v>9.3000000000000007</v>
      </c>
      <c r="Q108" s="260">
        <v>8.6999999999999993</v>
      </c>
      <c r="R108" s="260">
        <v>9</v>
      </c>
      <c r="S108" s="284">
        <v>9.16</v>
      </c>
      <c r="T108" s="285">
        <v>9.25</v>
      </c>
    </row>
    <row r="109" spans="1:20" s="96" customFormat="1" ht="15" x14ac:dyDescent="0.25">
      <c r="A109" s="181" t="s">
        <v>289</v>
      </c>
      <c r="B109" s="182" t="s">
        <v>290</v>
      </c>
      <c r="C109" s="180">
        <f>97.573+61.513</f>
        <v>159.08599999999998</v>
      </c>
      <c r="D109" s="180">
        <v>144.6</v>
      </c>
      <c r="E109" s="180">
        <f>53.658+92.861</f>
        <v>146.51900000000001</v>
      </c>
      <c r="F109" s="180">
        <f>58.455+104.417</f>
        <v>162.87200000000001</v>
      </c>
      <c r="G109" s="180">
        <f>111.751+46.459</f>
        <v>158.21</v>
      </c>
      <c r="H109" s="180">
        <f>51.1+100.8+8</f>
        <v>159.9</v>
      </c>
      <c r="I109" s="180">
        <v>133.9</v>
      </c>
      <c r="J109" s="180">
        <v>135.30000000000001</v>
      </c>
      <c r="K109" s="180">
        <v>125.2</v>
      </c>
      <c r="L109" s="180">
        <v>124.4</v>
      </c>
      <c r="M109" s="284">
        <v>121.1</v>
      </c>
      <c r="N109" s="284">
        <v>123.2</v>
      </c>
      <c r="O109" s="284">
        <v>123.8</v>
      </c>
      <c r="P109" s="284">
        <v>136.69999999999999</v>
      </c>
      <c r="Q109" s="284">
        <v>130.69999999999999</v>
      </c>
      <c r="R109" s="284">
        <v>127.6</v>
      </c>
      <c r="S109" s="284">
        <v>128.80000000000001</v>
      </c>
      <c r="T109" s="285">
        <v>130.1</v>
      </c>
    </row>
    <row r="110" spans="1:20" s="96" customFormat="1" ht="15" x14ac:dyDescent="0.25">
      <c r="A110" s="181" t="s">
        <v>291</v>
      </c>
      <c r="B110" s="182" t="s">
        <v>290</v>
      </c>
      <c r="C110" s="180">
        <f>84.698+45.037</f>
        <v>129.73499999999999</v>
      </c>
      <c r="D110" s="180">
        <v>124.7</v>
      </c>
      <c r="E110" s="180">
        <f>38.439+80.325</f>
        <v>118.76400000000001</v>
      </c>
      <c r="F110" s="180">
        <f>44.179+92.738</f>
        <v>136.917</v>
      </c>
      <c r="G110" s="180">
        <f>107.204+37.565</f>
        <v>144.76900000000001</v>
      </c>
      <c r="H110" s="180">
        <f>40.1+96.346</f>
        <v>136.446</v>
      </c>
      <c r="I110" s="180">
        <v>120.5</v>
      </c>
      <c r="J110" s="180">
        <v>127.1</v>
      </c>
      <c r="K110" s="180">
        <v>116.4</v>
      </c>
      <c r="L110" s="180">
        <v>114.3</v>
      </c>
      <c r="M110" s="284">
        <v>109.9</v>
      </c>
      <c r="N110" s="284">
        <v>111.1</v>
      </c>
      <c r="O110" s="284">
        <v>112.8</v>
      </c>
      <c r="P110" s="284">
        <v>125.3</v>
      </c>
      <c r="Q110" s="284">
        <v>120.2</v>
      </c>
      <c r="R110" s="284">
        <v>116.2</v>
      </c>
      <c r="S110" s="284">
        <v>117.4</v>
      </c>
      <c r="T110" s="285">
        <v>118.6</v>
      </c>
    </row>
    <row r="111" spans="1:20" s="96" customFormat="1" ht="15" x14ac:dyDescent="0.25">
      <c r="A111" s="90" t="s">
        <v>292</v>
      </c>
      <c r="B111" s="91" t="s">
        <v>293</v>
      </c>
      <c r="C111" s="163">
        <f>264+5.7+490+50</f>
        <v>809.7</v>
      </c>
      <c r="D111" s="183">
        <f>128+470+16.3+130</f>
        <v>744.3</v>
      </c>
      <c r="E111" s="183">
        <v>793.2</v>
      </c>
      <c r="F111" s="183">
        <v>837.79</v>
      </c>
      <c r="G111" s="175">
        <v>1089.5050000000001</v>
      </c>
      <c r="H111" s="175">
        <f>692.8+45.21+165+169</f>
        <v>1072.01</v>
      </c>
      <c r="I111" s="184">
        <f>611.08+35.796+211.3+190.667</f>
        <v>1048.8430000000001</v>
      </c>
      <c r="J111" s="184">
        <v>1007.06</v>
      </c>
      <c r="K111" s="184">
        <v>985.84900000000005</v>
      </c>
      <c r="L111" s="184">
        <v>1063.7</v>
      </c>
      <c r="M111" s="286">
        <v>1149.95</v>
      </c>
      <c r="N111" s="286">
        <v>1055.28</v>
      </c>
      <c r="O111" s="286">
        <v>914.62199999999996</v>
      </c>
      <c r="P111" s="286">
        <v>844.39400000000001</v>
      </c>
      <c r="Q111" s="286">
        <v>854</v>
      </c>
      <c r="R111" s="286">
        <v>864</v>
      </c>
      <c r="S111" s="286">
        <v>864</v>
      </c>
      <c r="T111" s="287">
        <v>864</v>
      </c>
    </row>
    <row r="112" spans="1:20" s="96" customFormat="1" ht="15" x14ac:dyDescent="0.25">
      <c r="A112" s="90" t="s">
        <v>295</v>
      </c>
      <c r="B112" s="91" t="s">
        <v>296</v>
      </c>
      <c r="C112" s="175">
        <f>175+32+50+3</f>
        <v>260</v>
      </c>
      <c r="D112" s="175">
        <v>230.3</v>
      </c>
      <c r="E112" s="175">
        <f>242+69+46+52.339</f>
        <v>409.339</v>
      </c>
      <c r="F112" s="175">
        <v>413.2</v>
      </c>
      <c r="G112" s="175">
        <v>337</v>
      </c>
      <c r="H112" s="175">
        <v>275.31</v>
      </c>
      <c r="I112" s="175">
        <v>293.94</v>
      </c>
      <c r="J112" s="175">
        <v>282</v>
      </c>
      <c r="K112" s="175">
        <v>241.9</v>
      </c>
      <c r="L112" s="175">
        <v>256.5</v>
      </c>
      <c r="M112" s="280">
        <v>156.69999999999999</v>
      </c>
      <c r="N112" s="280">
        <v>212.1</v>
      </c>
      <c r="O112" s="280">
        <v>249.4</v>
      </c>
      <c r="P112" s="280">
        <v>192.15</v>
      </c>
      <c r="Q112" s="280">
        <v>252.16</v>
      </c>
      <c r="R112" s="280">
        <v>270.10000000000002</v>
      </c>
      <c r="S112" s="280">
        <v>270.10000000000002</v>
      </c>
      <c r="T112" s="281">
        <v>270.10000000000002</v>
      </c>
    </row>
    <row r="113" spans="1:20" s="96" customFormat="1" ht="15" x14ac:dyDescent="0.25">
      <c r="A113" s="90" t="s">
        <v>297</v>
      </c>
      <c r="B113" s="91" t="s">
        <v>296</v>
      </c>
      <c r="C113" s="163" t="s">
        <v>239</v>
      </c>
      <c r="D113" s="163">
        <v>6</v>
      </c>
      <c r="E113" s="163">
        <v>59.9</v>
      </c>
      <c r="F113" s="163">
        <v>54</v>
      </c>
      <c r="G113" s="163">
        <v>56.1</v>
      </c>
      <c r="H113" s="163">
        <v>56.4</v>
      </c>
      <c r="I113" s="163">
        <v>60.7</v>
      </c>
      <c r="J113" s="163">
        <v>56.4</v>
      </c>
      <c r="K113" s="163">
        <v>65</v>
      </c>
      <c r="L113" s="163">
        <v>54.5</v>
      </c>
      <c r="M113" s="182">
        <v>45.2</v>
      </c>
      <c r="N113" s="182">
        <v>40.590000000000003</v>
      </c>
      <c r="O113" s="182">
        <v>47</v>
      </c>
      <c r="P113" s="182">
        <v>40</v>
      </c>
      <c r="Q113" s="182">
        <v>42.3</v>
      </c>
      <c r="R113" s="182">
        <v>44.4</v>
      </c>
      <c r="S113" s="182">
        <v>44.4</v>
      </c>
      <c r="T113" s="288">
        <v>44.4</v>
      </c>
    </row>
    <row r="114" spans="1:20" s="96" customFormat="1" ht="15" x14ac:dyDescent="0.25">
      <c r="A114" s="148" t="s">
        <v>444</v>
      </c>
      <c r="B114" s="149" t="s">
        <v>445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89"/>
      <c r="N114" s="289">
        <v>47</v>
      </c>
      <c r="O114" s="289">
        <f>75+76+76+80</f>
        <v>307</v>
      </c>
      <c r="P114" s="289">
        <f>90+90+40+65</f>
        <v>285</v>
      </c>
      <c r="Q114" s="289">
        <v>379</v>
      </c>
      <c r="R114" s="289">
        <v>282</v>
      </c>
      <c r="S114" s="289">
        <v>300</v>
      </c>
      <c r="T114" s="290">
        <v>300</v>
      </c>
    </row>
    <row r="115" spans="1:20" s="96" customFormat="1" ht="15.75" thickBot="1" x14ac:dyDescent="0.3">
      <c r="A115" s="185" t="s">
        <v>298</v>
      </c>
      <c r="B115" s="186" t="s">
        <v>296</v>
      </c>
      <c r="C115" s="187">
        <f>215.48+82</f>
        <v>297.48</v>
      </c>
      <c r="D115" s="187">
        <v>282.68</v>
      </c>
      <c r="E115" s="187">
        <v>267.94600000000003</v>
      </c>
      <c r="F115" s="187">
        <v>247.77</v>
      </c>
      <c r="G115" s="187">
        <v>244.35</v>
      </c>
      <c r="H115" s="187">
        <v>236.47</v>
      </c>
      <c r="I115" s="187">
        <v>239.7</v>
      </c>
      <c r="J115" s="187">
        <v>250.97</v>
      </c>
      <c r="K115" s="187">
        <v>243.36</v>
      </c>
      <c r="L115" s="187">
        <v>246.7</v>
      </c>
      <c r="M115" s="291">
        <v>248.3</v>
      </c>
      <c r="N115" s="291">
        <v>245.5</v>
      </c>
      <c r="O115" s="291">
        <v>237.9</v>
      </c>
      <c r="P115" s="291">
        <v>239.2</v>
      </c>
      <c r="Q115" s="291">
        <v>224</v>
      </c>
      <c r="R115" s="291">
        <v>235.2</v>
      </c>
      <c r="S115" s="291">
        <v>235.2</v>
      </c>
      <c r="T115" s="291">
        <v>235.2</v>
      </c>
    </row>
    <row r="120" spans="1:20" x14ac:dyDescent="0.2">
      <c r="B120" s="371"/>
    </row>
    <row r="134" spans="2:230" s="35" customFormat="1" x14ac:dyDescent="0.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</row>
    <row r="135" spans="2:230" s="35" customFormat="1" x14ac:dyDescent="0.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</row>
    <row r="136" spans="2:230" s="35" customFormat="1" x14ac:dyDescent="0.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</row>
    <row r="137" spans="2:230" s="35" customFormat="1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spans="2:230" s="35" customFormat="1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spans="2:230" s="35" customFormat="1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</sheetData>
  <mergeCells count="37">
    <mergeCell ref="A106:T106"/>
    <mergeCell ref="A61:S61"/>
    <mergeCell ref="A79:T79"/>
    <mergeCell ref="A81:T81"/>
    <mergeCell ref="A88:T88"/>
    <mergeCell ref="A95:T95"/>
    <mergeCell ref="A104:T104"/>
    <mergeCell ref="A43:T43"/>
    <mergeCell ref="A46:T46"/>
    <mergeCell ref="A48:T48"/>
    <mergeCell ref="A50:T50"/>
    <mergeCell ref="A55:T55"/>
    <mergeCell ref="A59:T59"/>
    <mergeCell ref="A30:B30"/>
    <mergeCell ref="A32:B32"/>
    <mergeCell ref="A34:B34"/>
    <mergeCell ref="A36:T36"/>
    <mergeCell ref="A40:T40"/>
    <mergeCell ref="A42:B42"/>
    <mergeCell ref="A18:B18"/>
    <mergeCell ref="A19:T19"/>
    <mergeCell ref="A21:T21"/>
    <mergeCell ref="A25:T25"/>
    <mergeCell ref="A27:B27"/>
    <mergeCell ref="A28:T28"/>
    <mergeCell ref="A9:B9"/>
    <mergeCell ref="A11:T11"/>
    <mergeCell ref="A12:T12"/>
    <mergeCell ref="A14:B14"/>
    <mergeCell ref="A15:T15"/>
    <mergeCell ref="A16:T16"/>
    <mergeCell ref="A2:T2"/>
    <mergeCell ref="A3:A4"/>
    <mergeCell ref="B3:B4"/>
    <mergeCell ref="R3:T3"/>
    <mergeCell ref="A5:T5"/>
    <mergeCell ref="A7:B7"/>
  </mergeCells>
  <printOptions horizontalCentered="1"/>
  <pageMargins left="0.19685039370078741" right="0.19685039370078741" top="1.1811023622047245" bottom="0.19685039370078741" header="0" footer="0"/>
  <pageSetup paperSize="9" scale="90" fitToHeight="5" orientation="landscape" r:id="rId1"/>
  <headerFooter alignWithMargins="0"/>
  <rowBreaks count="3" manualBreakCount="3">
    <brk id="33" max="19" man="1"/>
    <brk id="64" max="19" man="1"/>
    <brk id="9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L19" sqref="L19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353" t="s">
        <v>410</v>
      </c>
      <c r="F1" s="353"/>
      <c r="G1" s="353"/>
      <c r="H1" s="353"/>
    </row>
    <row r="2" spans="1:8" ht="34.5" customHeight="1" x14ac:dyDescent="0.25">
      <c r="E2" s="354" t="s">
        <v>585</v>
      </c>
      <c r="F2" s="354"/>
      <c r="G2" s="354"/>
      <c r="H2" s="354"/>
    </row>
    <row r="5" spans="1:8" ht="51.75" customHeight="1" x14ac:dyDescent="0.3">
      <c r="A5" s="355" t="s">
        <v>586</v>
      </c>
      <c r="B5" s="355"/>
      <c r="C5" s="355"/>
      <c r="D5" s="355"/>
      <c r="E5" s="355"/>
      <c r="F5" s="355"/>
      <c r="G5" s="355"/>
      <c r="H5" s="355"/>
    </row>
    <row r="7" spans="1:8" ht="15.75" thickBot="1" x14ac:dyDescent="0.3"/>
    <row r="8" spans="1:8" ht="31.5" customHeight="1" x14ac:dyDescent="0.25">
      <c r="A8" s="356" t="s">
        <v>299</v>
      </c>
      <c r="B8" s="350"/>
      <c r="C8" s="358" t="s">
        <v>411</v>
      </c>
      <c r="D8" s="360" t="s">
        <v>587</v>
      </c>
      <c r="E8" s="358" t="s">
        <v>588</v>
      </c>
      <c r="F8" s="358" t="s">
        <v>301</v>
      </c>
      <c r="G8" s="358"/>
      <c r="H8" s="362"/>
    </row>
    <row r="9" spans="1:8" ht="16.5" thickBot="1" x14ac:dyDescent="0.3">
      <c r="A9" s="357"/>
      <c r="B9" s="352"/>
      <c r="C9" s="359"/>
      <c r="D9" s="361"/>
      <c r="E9" s="359"/>
      <c r="F9" s="37" t="s">
        <v>470</v>
      </c>
      <c r="G9" s="37" t="s">
        <v>579</v>
      </c>
      <c r="H9" s="38" t="s">
        <v>589</v>
      </c>
    </row>
    <row r="10" spans="1:8" ht="37.5" customHeight="1" x14ac:dyDescent="0.25">
      <c r="A10" s="347" t="s">
        <v>303</v>
      </c>
      <c r="B10" s="39" t="s">
        <v>304</v>
      </c>
      <c r="C10" s="350" t="s">
        <v>286</v>
      </c>
      <c r="D10" s="372">
        <f>D12+D13</f>
        <v>82</v>
      </c>
      <c r="E10" s="372">
        <f>E12+E13</f>
        <v>79.3</v>
      </c>
      <c r="F10" s="372">
        <f>F12+F13</f>
        <v>82</v>
      </c>
      <c r="G10" s="372">
        <f>G12+G13</f>
        <v>82.9</v>
      </c>
      <c r="H10" s="373">
        <f>H12+H13</f>
        <v>83.7</v>
      </c>
    </row>
    <row r="11" spans="1:8" ht="15.75" x14ac:dyDescent="0.25">
      <c r="A11" s="348"/>
      <c r="B11" s="40" t="s">
        <v>236</v>
      </c>
      <c r="C11" s="351"/>
      <c r="D11" s="374"/>
      <c r="E11" s="375"/>
      <c r="F11" s="375"/>
      <c r="G11" s="375"/>
      <c r="H11" s="376"/>
    </row>
    <row r="12" spans="1:8" ht="15.75" x14ac:dyDescent="0.25">
      <c r="A12" s="348"/>
      <c r="B12" s="41" t="s">
        <v>305</v>
      </c>
      <c r="C12" s="351"/>
      <c r="D12" s="377">
        <v>72.7</v>
      </c>
      <c r="E12" s="377">
        <v>70.599999999999994</v>
      </c>
      <c r="F12" s="377">
        <v>73</v>
      </c>
      <c r="G12" s="378">
        <v>73.7</v>
      </c>
      <c r="H12" s="379">
        <v>74.400000000000006</v>
      </c>
    </row>
    <row r="13" spans="1:8" ht="16.5" thickBot="1" x14ac:dyDescent="0.3">
      <c r="A13" s="349"/>
      <c r="B13" s="42" t="s">
        <v>306</v>
      </c>
      <c r="C13" s="352"/>
      <c r="D13" s="380">
        <v>9.3000000000000007</v>
      </c>
      <c r="E13" s="380">
        <v>8.6999999999999993</v>
      </c>
      <c r="F13" s="380">
        <v>9</v>
      </c>
      <c r="G13" s="381">
        <v>9.1999999999999993</v>
      </c>
      <c r="H13" s="382">
        <v>9.3000000000000007</v>
      </c>
    </row>
    <row r="14" spans="1:8" ht="15.75" x14ac:dyDescent="0.25">
      <c r="A14" s="347" t="s">
        <v>307</v>
      </c>
      <c r="B14" s="39" t="s">
        <v>413</v>
      </c>
      <c r="C14" s="350" t="s">
        <v>290</v>
      </c>
      <c r="D14" s="188">
        <f>D16+D17+D18</f>
        <v>136.69999999999999</v>
      </c>
      <c r="E14" s="188">
        <f>E16+E17+E18</f>
        <v>130.69999999999999</v>
      </c>
      <c r="F14" s="188">
        <f>F16+F17+F18</f>
        <v>127.60000000000001</v>
      </c>
      <c r="G14" s="188">
        <f>G16+G17+G18</f>
        <v>128.80000000000001</v>
      </c>
      <c r="H14" s="383">
        <f>H16+H17+H18</f>
        <v>130.1</v>
      </c>
    </row>
    <row r="15" spans="1:8" ht="15.75" x14ac:dyDescent="0.25">
      <c r="A15" s="348"/>
      <c r="B15" s="40" t="s">
        <v>236</v>
      </c>
      <c r="C15" s="351"/>
      <c r="D15" s="374"/>
      <c r="E15" s="375"/>
      <c r="F15" s="375"/>
      <c r="G15" s="375"/>
      <c r="H15" s="376"/>
    </row>
    <row r="16" spans="1:8" ht="15.75" x14ac:dyDescent="0.25">
      <c r="A16" s="348"/>
      <c r="B16" s="41" t="s">
        <v>305</v>
      </c>
      <c r="C16" s="351"/>
      <c r="D16" s="189">
        <v>98.1</v>
      </c>
      <c r="E16" s="189">
        <v>93.5</v>
      </c>
      <c r="F16" s="189">
        <v>89.4</v>
      </c>
      <c r="G16" s="384">
        <v>90.3</v>
      </c>
      <c r="H16" s="385">
        <v>91.2</v>
      </c>
    </row>
    <row r="17" spans="1:9" ht="15.75" x14ac:dyDescent="0.25">
      <c r="A17" s="348"/>
      <c r="B17" s="41" t="s">
        <v>306</v>
      </c>
      <c r="C17" s="351"/>
      <c r="D17" s="189">
        <v>20.399999999999999</v>
      </c>
      <c r="E17" s="189">
        <v>19</v>
      </c>
      <c r="F17" s="189">
        <v>19.5</v>
      </c>
      <c r="G17" s="384">
        <v>19.7</v>
      </c>
      <c r="H17" s="385">
        <v>19.899999999999999</v>
      </c>
    </row>
    <row r="18" spans="1:9" ht="16.5" thickBot="1" x14ac:dyDescent="0.3">
      <c r="A18" s="349"/>
      <c r="B18" s="42" t="s">
        <v>308</v>
      </c>
      <c r="C18" s="352"/>
      <c r="D18" s="380">
        <v>18.2</v>
      </c>
      <c r="E18" s="380">
        <v>18.2</v>
      </c>
      <c r="F18" s="380">
        <v>18.7</v>
      </c>
      <c r="G18" s="381">
        <v>18.8</v>
      </c>
      <c r="H18" s="382">
        <v>19</v>
      </c>
    </row>
    <row r="19" spans="1:9" ht="16.5" thickBot="1" x14ac:dyDescent="0.3">
      <c r="A19" s="43" t="s">
        <v>309</v>
      </c>
      <c r="B19" s="44" t="s">
        <v>310</v>
      </c>
      <c r="C19" s="45" t="s">
        <v>311</v>
      </c>
      <c r="D19" s="212">
        <v>844.39</v>
      </c>
      <c r="E19" s="190">
        <v>854</v>
      </c>
      <c r="F19" s="190">
        <v>864</v>
      </c>
      <c r="G19" s="213">
        <v>864</v>
      </c>
      <c r="H19" s="191">
        <v>864</v>
      </c>
      <c r="I19" s="46"/>
    </row>
    <row r="20" spans="1:9" ht="16.5" thickBot="1" x14ac:dyDescent="0.3">
      <c r="A20" s="43" t="s">
        <v>312</v>
      </c>
      <c r="B20" s="44" t="s">
        <v>313</v>
      </c>
      <c r="C20" s="45" t="s">
        <v>284</v>
      </c>
      <c r="D20" s="190">
        <v>192.15</v>
      </c>
      <c r="E20" s="190">
        <v>252.16</v>
      </c>
      <c r="F20" s="190">
        <v>270.10000000000002</v>
      </c>
      <c r="G20" s="213">
        <v>270.10000000000002</v>
      </c>
      <c r="H20" s="191">
        <v>270.10000000000002</v>
      </c>
    </row>
    <row r="21" spans="1:9" ht="16.5" thickBot="1" x14ac:dyDescent="0.3">
      <c r="A21" s="43" t="s">
        <v>314</v>
      </c>
      <c r="B21" s="44" t="s">
        <v>297</v>
      </c>
      <c r="C21" s="45" t="s">
        <v>284</v>
      </c>
      <c r="D21" s="190">
        <v>40</v>
      </c>
      <c r="E21" s="190">
        <v>42.3</v>
      </c>
      <c r="F21" s="190">
        <v>44.4</v>
      </c>
      <c r="G21" s="213">
        <v>44.4</v>
      </c>
      <c r="H21" s="191">
        <v>44.4</v>
      </c>
    </row>
    <row r="22" spans="1:9" ht="16.5" thickBot="1" x14ac:dyDescent="0.3">
      <c r="A22" s="43" t="s">
        <v>315</v>
      </c>
      <c r="B22" s="44" t="s">
        <v>444</v>
      </c>
      <c r="C22" s="45" t="s">
        <v>447</v>
      </c>
      <c r="D22" s="190">
        <v>285</v>
      </c>
      <c r="E22" s="190">
        <v>379</v>
      </c>
      <c r="F22" s="190">
        <v>282</v>
      </c>
      <c r="G22" s="213">
        <v>300</v>
      </c>
      <c r="H22" s="191">
        <v>300</v>
      </c>
    </row>
    <row r="23" spans="1:9" ht="16.5" thickBot="1" x14ac:dyDescent="0.3">
      <c r="A23" s="43" t="s">
        <v>448</v>
      </c>
      <c r="B23" s="44" t="s">
        <v>298</v>
      </c>
      <c r="C23" s="45" t="s">
        <v>284</v>
      </c>
      <c r="D23" s="190">
        <v>239.2</v>
      </c>
      <c r="E23" s="190">
        <v>224</v>
      </c>
      <c r="F23" s="190">
        <v>235.2</v>
      </c>
      <c r="G23" s="213">
        <v>235.2</v>
      </c>
      <c r="H23" s="191">
        <v>235.2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L19" sqref="L19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353" t="s">
        <v>316</v>
      </c>
      <c r="E1" s="353"/>
    </row>
    <row r="2" spans="1:8" ht="29.25" customHeight="1" x14ac:dyDescent="0.25">
      <c r="C2" s="354" t="s">
        <v>585</v>
      </c>
      <c r="D2" s="354"/>
      <c r="E2" s="354"/>
    </row>
    <row r="4" spans="1:8" ht="47.25" customHeight="1" x14ac:dyDescent="0.3">
      <c r="A4" s="363" t="s">
        <v>590</v>
      </c>
      <c r="B4" s="363"/>
      <c r="C4" s="363"/>
      <c r="D4" s="363"/>
      <c r="E4" s="363"/>
    </row>
    <row r="7" spans="1:8" ht="56.25" x14ac:dyDescent="0.25">
      <c r="A7" s="49" t="s">
        <v>317</v>
      </c>
      <c r="B7" s="49" t="s">
        <v>300</v>
      </c>
      <c r="C7" s="49" t="s">
        <v>591</v>
      </c>
      <c r="D7" s="49" t="s">
        <v>592</v>
      </c>
      <c r="E7" s="49" t="s">
        <v>566</v>
      </c>
    </row>
    <row r="8" spans="1:8" ht="21.75" customHeight="1" x14ac:dyDescent="0.25">
      <c r="A8" s="50" t="s">
        <v>319</v>
      </c>
      <c r="B8" s="51" t="s">
        <v>318</v>
      </c>
      <c r="C8" s="214">
        <v>98.4</v>
      </c>
      <c r="D8" s="214">
        <v>96.5</v>
      </c>
      <c r="E8" s="214">
        <v>101.3</v>
      </c>
    </row>
    <row r="9" spans="1:8" ht="18.75" x14ac:dyDescent="0.25">
      <c r="A9" s="50" t="s">
        <v>320</v>
      </c>
      <c r="B9" s="51" t="s">
        <v>318</v>
      </c>
      <c r="C9" s="214">
        <v>124.6</v>
      </c>
      <c r="D9" s="214">
        <v>120.8</v>
      </c>
      <c r="E9" s="214">
        <v>126.9</v>
      </c>
    </row>
    <row r="10" spans="1:8" ht="25.5" customHeight="1" x14ac:dyDescent="0.25">
      <c r="A10" s="50" t="s">
        <v>321</v>
      </c>
      <c r="B10" s="51" t="s">
        <v>318</v>
      </c>
      <c r="C10" s="214">
        <v>16.2</v>
      </c>
      <c r="D10" s="214">
        <v>6.7</v>
      </c>
      <c r="E10" s="214">
        <v>7</v>
      </c>
    </row>
    <row r="11" spans="1:8" ht="19.5" x14ac:dyDescent="0.25">
      <c r="A11" s="52" t="s">
        <v>294</v>
      </c>
      <c r="B11" s="49" t="s">
        <v>318</v>
      </c>
      <c r="C11" s="215">
        <f>C8+C9+C10</f>
        <v>239.2</v>
      </c>
      <c r="D11" s="215">
        <f>D8+D9+D10</f>
        <v>224</v>
      </c>
      <c r="E11" s="215">
        <f>E8+E9+E10</f>
        <v>235.2</v>
      </c>
      <c r="H11" s="216"/>
    </row>
    <row r="14" spans="1:8" ht="41.25" customHeight="1" x14ac:dyDescent="0.3">
      <c r="A14" s="363" t="s">
        <v>593</v>
      </c>
      <c r="B14" s="363"/>
      <c r="C14" s="363"/>
      <c r="D14" s="363"/>
      <c r="E14" s="363"/>
    </row>
    <row r="16" spans="1:8" ht="56.25" x14ac:dyDescent="0.25">
      <c r="A16" s="49" t="s">
        <v>449</v>
      </c>
      <c r="B16" s="49" t="s">
        <v>300</v>
      </c>
      <c r="C16" s="49" t="s">
        <v>591</v>
      </c>
      <c r="D16" s="49" t="s">
        <v>592</v>
      </c>
      <c r="E16" s="49" t="s">
        <v>566</v>
      </c>
    </row>
    <row r="17" spans="1:5" ht="18.75" x14ac:dyDescent="0.25">
      <c r="A17" s="50" t="s">
        <v>321</v>
      </c>
      <c r="B17" s="51" t="s">
        <v>318</v>
      </c>
      <c r="C17" s="214">
        <v>40</v>
      </c>
      <c r="D17" s="214">
        <v>42.3</v>
      </c>
      <c r="E17" s="214">
        <v>44.4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L19" sqref="L19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353" t="s">
        <v>322</v>
      </c>
      <c r="K1" s="353"/>
    </row>
    <row r="2" spans="1:11" ht="35.25" customHeight="1" x14ac:dyDescent="0.25">
      <c r="H2" s="354" t="s">
        <v>585</v>
      </c>
      <c r="I2" s="354"/>
      <c r="J2" s="354"/>
      <c r="K2" s="354"/>
    </row>
    <row r="4" spans="1:11" x14ac:dyDescent="0.25">
      <c r="A4" s="365" t="s">
        <v>594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6" spans="1:11" x14ac:dyDescent="0.25">
      <c r="A6" s="366"/>
      <c r="B6" s="367" t="s">
        <v>595</v>
      </c>
      <c r="C6" s="367"/>
      <c r="D6" s="367"/>
      <c r="E6" s="367" t="s">
        <v>596</v>
      </c>
      <c r="F6" s="367"/>
      <c r="G6" s="367"/>
      <c r="H6" s="367" t="s">
        <v>566</v>
      </c>
      <c r="I6" s="367"/>
      <c r="J6" s="367"/>
      <c r="K6" s="367"/>
    </row>
    <row r="7" spans="1:11" ht="22.5" customHeight="1" x14ac:dyDescent="0.25">
      <c r="A7" s="366"/>
      <c r="B7" s="368" t="s">
        <v>597</v>
      </c>
      <c r="C7" s="366" t="s">
        <v>323</v>
      </c>
      <c r="D7" s="366"/>
      <c r="E7" s="368" t="s">
        <v>598</v>
      </c>
      <c r="F7" s="366" t="s">
        <v>323</v>
      </c>
      <c r="G7" s="366"/>
      <c r="H7" s="368" t="s">
        <v>599</v>
      </c>
      <c r="I7" s="366" t="s">
        <v>323</v>
      </c>
      <c r="J7" s="366"/>
      <c r="K7" s="368" t="s">
        <v>600</v>
      </c>
    </row>
    <row r="8" spans="1:11" ht="30" x14ac:dyDescent="0.25">
      <c r="A8" s="366"/>
      <c r="B8" s="368"/>
      <c r="C8" s="309" t="s">
        <v>324</v>
      </c>
      <c r="D8" s="308" t="s">
        <v>325</v>
      </c>
      <c r="E8" s="368"/>
      <c r="F8" s="309" t="s">
        <v>324</v>
      </c>
      <c r="G8" s="308" t="s">
        <v>325</v>
      </c>
      <c r="H8" s="368"/>
      <c r="I8" s="309" t="s">
        <v>324</v>
      </c>
      <c r="J8" s="308" t="s">
        <v>325</v>
      </c>
      <c r="K8" s="368"/>
    </row>
    <row r="9" spans="1:11" ht="15.75" x14ac:dyDescent="0.25">
      <c r="A9" s="364" t="s">
        <v>326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ht="15.75" x14ac:dyDescent="0.25">
      <c r="A10" s="386" t="s">
        <v>601</v>
      </c>
      <c r="B10" s="387">
        <v>9354</v>
      </c>
      <c r="C10" s="387">
        <v>1307</v>
      </c>
      <c r="D10" s="388">
        <v>42.4</v>
      </c>
      <c r="E10" s="387">
        <v>9342</v>
      </c>
      <c r="F10" s="387">
        <v>1661</v>
      </c>
      <c r="G10" s="389">
        <v>52</v>
      </c>
      <c r="H10" s="387">
        <v>9415</v>
      </c>
      <c r="I10" s="387">
        <v>1200</v>
      </c>
      <c r="J10" s="389">
        <v>41</v>
      </c>
      <c r="K10" s="387">
        <v>9300</v>
      </c>
    </row>
    <row r="11" spans="1:11" ht="15.75" x14ac:dyDescent="0.25">
      <c r="A11" s="386" t="s">
        <v>602</v>
      </c>
      <c r="B11" s="387">
        <v>16914</v>
      </c>
      <c r="C11" s="387">
        <v>1744</v>
      </c>
      <c r="D11" s="388">
        <v>79.7</v>
      </c>
      <c r="E11" s="387">
        <v>19053</v>
      </c>
      <c r="F11" s="387">
        <v>2333</v>
      </c>
      <c r="G11" s="389">
        <v>105</v>
      </c>
      <c r="H11" s="387">
        <v>18400</v>
      </c>
      <c r="I11" s="387">
        <v>2500</v>
      </c>
      <c r="J11" s="389">
        <v>110</v>
      </c>
      <c r="K11" s="387">
        <v>18000</v>
      </c>
    </row>
    <row r="12" spans="1:11" ht="15.75" x14ac:dyDescent="0.25">
      <c r="A12" s="386" t="s">
        <v>603</v>
      </c>
      <c r="B12" s="387">
        <v>12941</v>
      </c>
      <c r="C12" s="387">
        <v>882</v>
      </c>
      <c r="D12" s="388">
        <v>37.65</v>
      </c>
      <c r="E12" s="387">
        <v>13880</v>
      </c>
      <c r="F12" s="387">
        <v>1239</v>
      </c>
      <c r="G12" s="389">
        <v>43.66</v>
      </c>
      <c r="H12" s="387">
        <v>14151</v>
      </c>
      <c r="I12" s="387">
        <v>1000</v>
      </c>
      <c r="J12" s="389">
        <v>45</v>
      </c>
      <c r="K12" s="387">
        <v>14200</v>
      </c>
    </row>
    <row r="13" spans="1:11" ht="15.75" x14ac:dyDescent="0.25">
      <c r="A13" s="53" t="s">
        <v>604</v>
      </c>
      <c r="B13" s="217">
        <f>B10+B11+B12</f>
        <v>39209</v>
      </c>
      <c r="C13" s="217">
        <f>C10+C11+C12</f>
        <v>3933</v>
      </c>
      <c r="D13" s="218">
        <f>D10+D11+D12</f>
        <v>159.75</v>
      </c>
      <c r="E13" s="217">
        <f>E10+E11+E12</f>
        <v>42275</v>
      </c>
      <c r="F13" s="217">
        <f t="shared" ref="F13:K13" si="0">F10+F11+F12</f>
        <v>5233</v>
      </c>
      <c r="G13" s="218">
        <f t="shared" si="0"/>
        <v>200.66</v>
      </c>
      <c r="H13" s="217">
        <f t="shared" si="0"/>
        <v>41966</v>
      </c>
      <c r="I13" s="217">
        <f t="shared" si="0"/>
        <v>4700</v>
      </c>
      <c r="J13" s="218">
        <f t="shared" si="0"/>
        <v>196</v>
      </c>
      <c r="K13" s="217">
        <f t="shared" si="0"/>
        <v>41500</v>
      </c>
    </row>
    <row r="14" spans="1:1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mergeCells count="15">
    <mergeCell ref="F7:G7"/>
    <mergeCell ref="H7:H8"/>
    <mergeCell ref="I7:J7"/>
    <mergeCell ref="K7:K8"/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topLeftCell="A84" zoomScaleNormal="100" zoomScaleSheetLayoutView="100" workbookViewId="0">
      <selection activeCell="L19" sqref="L19"/>
    </sheetView>
  </sheetViews>
  <sheetFormatPr defaultRowHeight="15" x14ac:dyDescent="0.25"/>
  <cols>
    <col min="1" max="1" width="22.42578125" style="391" customWidth="1"/>
    <col min="2" max="2" width="7" style="391" customWidth="1"/>
    <col min="3" max="3" width="79.140625" style="391" customWidth="1"/>
    <col min="4" max="4" width="28" style="391" customWidth="1"/>
    <col min="5" max="5" width="27.42578125" style="391" customWidth="1"/>
    <col min="6" max="6" width="27.28515625" style="391" customWidth="1"/>
    <col min="7" max="256" width="9.140625" style="391"/>
    <col min="257" max="257" width="22.42578125" style="391" customWidth="1"/>
    <col min="258" max="258" width="7" style="391" customWidth="1"/>
    <col min="259" max="259" width="79.140625" style="391" customWidth="1"/>
    <col min="260" max="260" width="28" style="391" customWidth="1"/>
    <col min="261" max="261" width="27.42578125" style="391" customWidth="1"/>
    <col min="262" max="262" width="27.28515625" style="391" customWidth="1"/>
    <col min="263" max="512" width="9.140625" style="391"/>
    <col min="513" max="513" width="22.42578125" style="391" customWidth="1"/>
    <col min="514" max="514" width="7" style="391" customWidth="1"/>
    <col min="515" max="515" width="79.140625" style="391" customWidth="1"/>
    <col min="516" max="516" width="28" style="391" customWidth="1"/>
    <col min="517" max="517" width="27.42578125" style="391" customWidth="1"/>
    <col min="518" max="518" width="27.28515625" style="391" customWidth="1"/>
    <col min="519" max="768" width="9.140625" style="391"/>
    <col min="769" max="769" width="22.42578125" style="391" customWidth="1"/>
    <col min="770" max="770" width="7" style="391" customWidth="1"/>
    <col min="771" max="771" width="79.140625" style="391" customWidth="1"/>
    <col min="772" max="772" width="28" style="391" customWidth="1"/>
    <col min="773" max="773" width="27.42578125" style="391" customWidth="1"/>
    <col min="774" max="774" width="27.28515625" style="391" customWidth="1"/>
    <col min="775" max="1024" width="9.140625" style="391"/>
    <col min="1025" max="1025" width="22.42578125" style="391" customWidth="1"/>
    <col min="1026" max="1026" width="7" style="391" customWidth="1"/>
    <col min="1027" max="1027" width="79.140625" style="391" customWidth="1"/>
    <col min="1028" max="1028" width="28" style="391" customWidth="1"/>
    <col min="1029" max="1029" width="27.42578125" style="391" customWidth="1"/>
    <col min="1030" max="1030" width="27.28515625" style="391" customWidth="1"/>
    <col min="1031" max="1280" width="9.140625" style="391"/>
    <col min="1281" max="1281" width="22.42578125" style="391" customWidth="1"/>
    <col min="1282" max="1282" width="7" style="391" customWidth="1"/>
    <col min="1283" max="1283" width="79.140625" style="391" customWidth="1"/>
    <col min="1284" max="1284" width="28" style="391" customWidth="1"/>
    <col min="1285" max="1285" width="27.42578125" style="391" customWidth="1"/>
    <col min="1286" max="1286" width="27.28515625" style="391" customWidth="1"/>
    <col min="1287" max="1536" width="9.140625" style="391"/>
    <col min="1537" max="1537" width="22.42578125" style="391" customWidth="1"/>
    <col min="1538" max="1538" width="7" style="391" customWidth="1"/>
    <col min="1539" max="1539" width="79.140625" style="391" customWidth="1"/>
    <col min="1540" max="1540" width="28" style="391" customWidth="1"/>
    <col min="1541" max="1541" width="27.42578125" style="391" customWidth="1"/>
    <col min="1542" max="1542" width="27.28515625" style="391" customWidth="1"/>
    <col min="1543" max="1792" width="9.140625" style="391"/>
    <col min="1793" max="1793" width="22.42578125" style="391" customWidth="1"/>
    <col min="1794" max="1794" width="7" style="391" customWidth="1"/>
    <col min="1795" max="1795" width="79.140625" style="391" customWidth="1"/>
    <col min="1796" max="1796" width="28" style="391" customWidth="1"/>
    <col min="1797" max="1797" width="27.42578125" style="391" customWidth="1"/>
    <col min="1798" max="1798" width="27.28515625" style="391" customWidth="1"/>
    <col min="1799" max="2048" width="9.140625" style="391"/>
    <col min="2049" max="2049" width="22.42578125" style="391" customWidth="1"/>
    <col min="2050" max="2050" width="7" style="391" customWidth="1"/>
    <col min="2051" max="2051" width="79.140625" style="391" customWidth="1"/>
    <col min="2052" max="2052" width="28" style="391" customWidth="1"/>
    <col min="2053" max="2053" width="27.42578125" style="391" customWidth="1"/>
    <col min="2054" max="2054" width="27.28515625" style="391" customWidth="1"/>
    <col min="2055" max="2304" width="9.140625" style="391"/>
    <col min="2305" max="2305" width="22.42578125" style="391" customWidth="1"/>
    <col min="2306" max="2306" width="7" style="391" customWidth="1"/>
    <col min="2307" max="2307" width="79.140625" style="391" customWidth="1"/>
    <col min="2308" max="2308" width="28" style="391" customWidth="1"/>
    <col min="2309" max="2309" width="27.42578125" style="391" customWidth="1"/>
    <col min="2310" max="2310" width="27.28515625" style="391" customWidth="1"/>
    <col min="2311" max="2560" width="9.140625" style="391"/>
    <col min="2561" max="2561" width="22.42578125" style="391" customWidth="1"/>
    <col min="2562" max="2562" width="7" style="391" customWidth="1"/>
    <col min="2563" max="2563" width="79.140625" style="391" customWidth="1"/>
    <col min="2564" max="2564" width="28" style="391" customWidth="1"/>
    <col min="2565" max="2565" width="27.42578125" style="391" customWidth="1"/>
    <col min="2566" max="2566" width="27.28515625" style="391" customWidth="1"/>
    <col min="2567" max="2816" width="9.140625" style="391"/>
    <col min="2817" max="2817" width="22.42578125" style="391" customWidth="1"/>
    <col min="2818" max="2818" width="7" style="391" customWidth="1"/>
    <col min="2819" max="2819" width="79.140625" style="391" customWidth="1"/>
    <col min="2820" max="2820" width="28" style="391" customWidth="1"/>
    <col min="2821" max="2821" width="27.42578125" style="391" customWidth="1"/>
    <col min="2822" max="2822" width="27.28515625" style="391" customWidth="1"/>
    <col min="2823" max="3072" width="9.140625" style="391"/>
    <col min="3073" max="3073" width="22.42578125" style="391" customWidth="1"/>
    <col min="3074" max="3074" width="7" style="391" customWidth="1"/>
    <col min="3075" max="3075" width="79.140625" style="391" customWidth="1"/>
    <col min="3076" max="3076" width="28" style="391" customWidth="1"/>
    <col min="3077" max="3077" width="27.42578125" style="391" customWidth="1"/>
    <col min="3078" max="3078" width="27.28515625" style="391" customWidth="1"/>
    <col min="3079" max="3328" width="9.140625" style="391"/>
    <col min="3329" max="3329" width="22.42578125" style="391" customWidth="1"/>
    <col min="3330" max="3330" width="7" style="391" customWidth="1"/>
    <col min="3331" max="3331" width="79.140625" style="391" customWidth="1"/>
    <col min="3332" max="3332" width="28" style="391" customWidth="1"/>
    <col min="3333" max="3333" width="27.42578125" style="391" customWidth="1"/>
    <col min="3334" max="3334" width="27.28515625" style="391" customWidth="1"/>
    <col min="3335" max="3584" width="9.140625" style="391"/>
    <col min="3585" max="3585" width="22.42578125" style="391" customWidth="1"/>
    <col min="3586" max="3586" width="7" style="391" customWidth="1"/>
    <col min="3587" max="3587" width="79.140625" style="391" customWidth="1"/>
    <col min="3588" max="3588" width="28" style="391" customWidth="1"/>
    <col min="3589" max="3589" width="27.42578125" style="391" customWidth="1"/>
    <col min="3590" max="3590" width="27.28515625" style="391" customWidth="1"/>
    <col min="3591" max="3840" width="9.140625" style="391"/>
    <col min="3841" max="3841" width="22.42578125" style="391" customWidth="1"/>
    <col min="3842" max="3842" width="7" style="391" customWidth="1"/>
    <col min="3843" max="3843" width="79.140625" style="391" customWidth="1"/>
    <col min="3844" max="3844" width="28" style="391" customWidth="1"/>
    <col min="3845" max="3845" width="27.42578125" style="391" customWidth="1"/>
    <col min="3846" max="3846" width="27.28515625" style="391" customWidth="1"/>
    <col min="3847" max="4096" width="9.140625" style="391"/>
    <col min="4097" max="4097" width="22.42578125" style="391" customWidth="1"/>
    <col min="4098" max="4098" width="7" style="391" customWidth="1"/>
    <col min="4099" max="4099" width="79.140625" style="391" customWidth="1"/>
    <col min="4100" max="4100" width="28" style="391" customWidth="1"/>
    <col min="4101" max="4101" width="27.42578125" style="391" customWidth="1"/>
    <col min="4102" max="4102" width="27.28515625" style="391" customWidth="1"/>
    <col min="4103" max="4352" width="9.140625" style="391"/>
    <col min="4353" max="4353" width="22.42578125" style="391" customWidth="1"/>
    <col min="4354" max="4354" width="7" style="391" customWidth="1"/>
    <col min="4355" max="4355" width="79.140625" style="391" customWidth="1"/>
    <col min="4356" max="4356" width="28" style="391" customWidth="1"/>
    <col min="4357" max="4357" width="27.42578125" style="391" customWidth="1"/>
    <col min="4358" max="4358" width="27.28515625" style="391" customWidth="1"/>
    <col min="4359" max="4608" width="9.140625" style="391"/>
    <col min="4609" max="4609" width="22.42578125" style="391" customWidth="1"/>
    <col min="4610" max="4610" width="7" style="391" customWidth="1"/>
    <col min="4611" max="4611" width="79.140625" style="391" customWidth="1"/>
    <col min="4612" max="4612" width="28" style="391" customWidth="1"/>
    <col min="4613" max="4613" width="27.42578125" style="391" customWidth="1"/>
    <col min="4614" max="4614" width="27.28515625" style="391" customWidth="1"/>
    <col min="4615" max="4864" width="9.140625" style="391"/>
    <col min="4865" max="4865" width="22.42578125" style="391" customWidth="1"/>
    <col min="4866" max="4866" width="7" style="391" customWidth="1"/>
    <col min="4867" max="4867" width="79.140625" style="391" customWidth="1"/>
    <col min="4868" max="4868" width="28" style="391" customWidth="1"/>
    <col min="4869" max="4869" width="27.42578125" style="391" customWidth="1"/>
    <col min="4870" max="4870" width="27.28515625" style="391" customWidth="1"/>
    <col min="4871" max="5120" width="9.140625" style="391"/>
    <col min="5121" max="5121" width="22.42578125" style="391" customWidth="1"/>
    <col min="5122" max="5122" width="7" style="391" customWidth="1"/>
    <col min="5123" max="5123" width="79.140625" style="391" customWidth="1"/>
    <col min="5124" max="5124" width="28" style="391" customWidth="1"/>
    <col min="5125" max="5125" width="27.42578125" style="391" customWidth="1"/>
    <col min="5126" max="5126" width="27.28515625" style="391" customWidth="1"/>
    <col min="5127" max="5376" width="9.140625" style="391"/>
    <col min="5377" max="5377" width="22.42578125" style="391" customWidth="1"/>
    <col min="5378" max="5378" width="7" style="391" customWidth="1"/>
    <col min="5379" max="5379" width="79.140625" style="391" customWidth="1"/>
    <col min="5380" max="5380" width="28" style="391" customWidth="1"/>
    <col min="5381" max="5381" width="27.42578125" style="391" customWidth="1"/>
    <col min="5382" max="5382" width="27.28515625" style="391" customWidth="1"/>
    <col min="5383" max="5632" width="9.140625" style="391"/>
    <col min="5633" max="5633" width="22.42578125" style="391" customWidth="1"/>
    <col min="5634" max="5634" width="7" style="391" customWidth="1"/>
    <col min="5635" max="5635" width="79.140625" style="391" customWidth="1"/>
    <col min="5636" max="5636" width="28" style="391" customWidth="1"/>
    <col min="5637" max="5637" width="27.42578125" style="391" customWidth="1"/>
    <col min="5638" max="5638" width="27.28515625" style="391" customWidth="1"/>
    <col min="5639" max="5888" width="9.140625" style="391"/>
    <col min="5889" max="5889" width="22.42578125" style="391" customWidth="1"/>
    <col min="5890" max="5890" width="7" style="391" customWidth="1"/>
    <col min="5891" max="5891" width="79.140625" style="391" customWidth="1"/>
    <col min="5892" max="5892" width="28" style="391" customWidth="1"/>
    <col min="5893" max="5893" width="27.42578125" style="391" customWidth="1"/>
    <col min="5894" max="5894" width="27.28515625" style="391" customWidth="1"/>
    <col min="5895" max="6144" width="9.140625" style="391"/>
    <col min="6145" max="6145" width="22.42578125" style="391" customWidth="1"/>
    <col min="6146" max="6146" width="7" style="391" customWidth="1"/>
    <col min="6147" max="6147" width="79.140625" style="391" customWidth="1"/>
    <col min="6148" max="6148" width="28" style="391" customWidth="1"/>
    <col min="6149" max="6149" width="27.42578125" style="391" customWidth="1"/>
    <col min="6150" max="6150" width="27.28515625" style="391" customWidth="1"/>
    <col min="6151" max="6400" width="9.140625" style="391"/>
    <col min="6401" max="6401" width="22.42578125" style="391" customWidth="1"/>
    <col min="6402" max="6402" width="7" style="391" customWidth="1"/>
    <col min="6403" max="6403" width="79.140625" style="391" customWidth="1"/>
    <col min="6404" max="6404" width="28" style="391" customWidth="1"/>
    <col min="6405" max="6405" width="27.42578125" style="391" customWidth="1"/>
    <col min="6406" max="6406" width="27.28515625" style="391" customWidth="1"/>
    <col min="6407" max="6656" width="9.140625" style="391"/>
    <col min="6657" max="6657" width="22.42578125" style="391" customWidth="1"/>
    <col min="6658" max="6658" width="7" style="391" customWidth="1"/>
    <col min="6659" max="6659" width="79.140625" style="391" customWidth="1"/>
    <col min="6660" max="6660" width="28" style="391" customWidth="1"/>
    <col min="6661" max="6661" width="27.42578125" style="391" customWidth="1"/>
    <col min="6662" max="6662" width="27.28515625" style="391" customWidth="1"/>
    <col min="6663" max="6912" width="9.140625" style="391"/>
    <col min="6913" max="6913" width="22.42578125" style="391" customWidth="1"/>
    <col min="6914" max="6914" width="7" style="391" customWidth="1"/>
    <col min="6915" max="6915" width="79.140625" style="391" customWidth="1"/>
    <col min="6916" max="6916" width="28" style="391" customWidth="1"/>
    <col min="6917" max="6917" width="27.42578125" style="391" customWidth="1"/>
    <col min="6918" max="6918" width="27.28515625" style="391" customWidth="1"/>
    <col min="6919" max="7168" width="9.140625" style="391"/>
    <col min="7169" max="7169" width="22.42578125" style="391" customWidth="1"/>
    <col min="7170" max="7170" width="7" style="391" customWidth="1"/>
    <col min="7171" max="7171" width="79.140625" style="391" customWidth="1"/>
    <col min="7172" max="7172" width="28" style="391" customWidth="1"/>
    <col min="7173" max="7173" width="27.42578125" style="391" customWidth="1"/>
    <col min="7174" max="7174" width="27.28515625" style="391" customWidth="1"/>
    <col min="7175" max="7424" width="9.140625" style="391"/>
    <col min="7425" max="7425" width="22.42578125" style="391" customWidth="1"/>
    <col min="7426" max="7426" width="7" style="391" customWidth="1"/>
    <col min="7427" max="7427" width="79.140625" style="391" customWidth="1"/>
    <col min="7428" max="7428" width="28" style="391" customWidth="1"/>
    <col min="7429" max="7429" width="27.42578125" style="391" customWidth="1"/>
    <col min="7430" max="7430" width="27.28515625" style="391" customWidth="1"/>
    <col min="7431" max="7680" width="9.140625" style="391"/>
    <col min="7681" max="7681" width="22.42578125" style="391" customWidth="1"/>
    <col min="7682" max="7682" width="7" style="391" customWidth="1"/>
    <col min="7683" max="7683" width="79.140625" style="391" customWidth="1"/>
    <col min="7684" max="7684" width="28" style="391" customWidth="1"/>
    <col min="7685" max="7685" width="27.42578125" style="391" customWidth="1"/>
    <col min="7686" max="7686" width="27.28515625" style="391" customWidth="1"/>
    <col min="7687" max="7936" width="9.140625" style="391"/>
    <col min="7937" max="7937" width="22.42578125" style="391" customWidth="1"/>
    <col min="7938" max="7938" width="7" style="391" customWidth="1"/>
    <col min="7939" max="7939" width="79.140625" style="391" customWidth="1"/>
    <col min="7940" max="7940" width="28" style="391" customWidth="1"/>
    <col min="7941" max="7941" width="27.42578125" style="391" customWidth="1"/>
    <col min="7942" max="7942" width="27.28515625" style="391" customWidth="1"/>
    <col min="7943" max="8192" width="9.140625" style="391"/>
    <col min="8193" max="8193" width="22.42578125" style="391" customWidth="1"/>
    <col min="8194" max="8194" width="7" style="391" customWidth="1"/>
    <col min="8195" max="8195" width="79.140625" style="391" customWidth="1"/>
    <col min="8196" max="8196" width="28" style="391" customWidth="1"/>
    <col min="8197" max="8197" width="27.42578125" style="391" customWidth="1"/>
    <col min="8198" max="8198" width="27.28515625" style="391" customWidth="1"/>
    <col min="8199" max="8448" width="9.140625" style="391"/>
    <col min="8449" max="8449" width="22.42578125" style="391" customWidth="1"/>
    <col min="8450" max="8450" width="7" style="391" customWidth="1"/>
    <col min="8451" max="8451" width="79.140625" style="391" customWidth="1"/>
    <col min="8452" max="8452" width="28" style="391" customWidth="1"/>
    <col min="8453" max="8453" width="27.42578125" style="391" customWidth="1"/>
    <col min="8454" max="8454" width="27.28515625" style="391" customWidth="1"/>
    <col min="8455" max="8704" width="9.140625" style="391"/>
    <col min="8705" max="8705" width="22.42578125" style="391" customWidth="1"/>
    <col min="8706" max="8706" width="7" style="391" customWidth="1"/>
    <col min="8707" max="8707" width="79.140625" style="391" customWidth="1"/>
    <col min="8708" max="8708" width="28" style="391" customWidth="1"/>
    <col min="8709" max="8709" width="27.42578125" style="391" customWidth="1"/>
    <col min="8710" max="8710" width="27.28515625" style="391" customWidth="1"/>
    <col min="8711" max="8960" width="9.140625" style="391"/>
    <col min="8961" max="8961" width="22.42578125" style="391" customWidth="1"/>
    <col min="8962" max="8962" width="7" style="391" customWidth="1"/>
    <col min="8963" max="8963" width="79.140625" style="391" customWidth="1"/>
    <col min="8964" max="8964" width="28" style="391" customWidth="1"/>
    <col min="8965" max="8965" width="27.42578125" style="391" customWidth="1"/>
    <col min="8966" max="8966" width="27.28515625" style="391" customWidth="1"/>
    <col min="8967" max="9216" width="9.140625" style="391"/>
    <col min="9217" max="9217" width="22.42578125" style="391" customWidth="1"/>
    <col min="9218" max="9218" width="7" style="391" customWidth="1"/>
    <col min="9219" max="9219" width="79.140625" style="391" customWidth="1"/>
    <col min="9220" max="9220" width="28" style="391" customWidth="1"/>
    <col min="9221" max="9221" width="27.42578125" style="391" customWidth="1"/>
    <col min="9222" max="9222" width="27.28515625" style="391" customWidth="1"/>
    <col min="9223" max="9472" width="9.140625" style="391"/>
    <col min="9473" max="9473" width="22.42578125" style="391" customWidth="1"/>
    <col min="9474" max="9474" width="7" style="391" customWidth="1"/>
    <col min="9475" max="9475" width="79.140625" style="391" customWidth="1"/>
    <col min="9476" max="9476" width="28" style="391" customWidth="1"/>
    <col min="9477" max="9477" width="27.42578125" style="391" customWidth="1"/>
    <col min="9478" max="9478" width="27.28515625" style="391" customWidth="1"/>
    <col min="9479" max="9728" width="9.140625" style="391"/>
    <col min="9729" max="9729" width="22.42578125" style="391" customWidth="1"/>
    <col min="9730" max="9730" width="7" style="391" customWidth="1"/>
    <col min="9731" max="9731" width="79.140625" style="391" customWidth="1"/>
    <col min="9732" max="9732" width="28" style="391" customWidth="1"/>
    <col min="9733" max="9733" width="27.42578125" style="391" customWidth="1"/>
    <col min="9734" max="9734" width="27.28515625" style="391" customWidth="1"/>
    <col min="9735" max="9984" width="9.140625" style="391"/>
    <col min="9985" max="9985" width="22.42578125" style="391" customWidth="1"/>
    <col min="9986" max="9986" width="7" style="391" customWidth="1"/>
    <col min="9987" max="9987" width="79.140625" style="391" customWidth="1"/>
    <col min="9988" max="9988" width="28" style="391" customWidth="1"/>
    <col min="9989" max="9989" width="27.42578125" style="391" customWidth="1"/>
    <col min="9990" max="9990" width="27.28515625" style="391" customWidth="1"/>
    <col min="9991" max="10240" width="9.140625" style="391"/>
    <col min="10241" max="10241" width="22.42578125" style="391" customWidth="1"/>
    <col min="10242" max="10242" width="7" style="391" customWidth="1"/>
    <col min="10243" max="10243" width="79.140625" style="391" customWidth="1"/>
    <col min="10244" max="10244" width="28" style="391" customWidth="1"/>
    <col min="10245" max="10245" width="27.42578125" style="391" customWidth="1"/>
    <col min="10246" max="10246" width="27.28515625" style="391" customWidth="1"/>
    <col min="10247" max="10496" width="9.140625" style="391"/>
    <col min="10497" max="10497" width="22.42578125" style="391" customWidth="1"/>
    <col min="10498" max="10498" width="7" style="391" customWidth="1"/>
    <col min="10499" max="10499" width="79.140625" style="391" customWidth="1"/>
    <col min="10500" max="10500" width="28" style="391" customWidth="1"/>
    <col min="10501" max="10501" width="27.42578125" style="391" customWidth="1"/>
    <col min="10502" max="10502" width="27.28515625" style="391" customWidth="1"/>
    <col min="10503" max="10752" width="9.140625" style="391"/>
    <col min="10753" max="10753" width="22.42578125" style="391" customWidth="1"/>
    <col min="10754" max="10754" width="7" style="391" customWidth="1"/>
    <col min="10755" max="10755" width="79.140625" style="391" customWidth="1"/>
    <col min="10756" max="10756" width="28" style="391" customWidth="1"/>
    <col min="10757" max="10757" width="27.42578125" style="391" customWidth="1"/>
    <col min="10758" max="10758" width="27.28515625" style="391" customWidth="1"/>
    <col min="10759" max="11008" width="9.140625" style="391"/>
    <col min="11009" max="11009" width="22.42578125" style="391" customWidth="1"/>
    <col min="11010" max="11010" width="7" style="391" customWidth="1"/>
    <col min="11011" max="11011" width="79.140625" style="391" customWidth="1"/>
    <col min="11012" max="11012" width="28" style="391" customWidth="1"/>
    <col min="11013" max="11013" width="27.42578125" style="391" customWidth="1"/>
    <col min="11014" max="11014" width="27.28515625" style="391" customWidth="1"/>
    <col min="11015" max="11264" width="9.140625" style="391"/>
    <col min="11265" max="11265" width="22.42578125" style="391" customWidth="1"/>
    <col min="11266" max="11266" width="7" style="391" customWidth="1"/>
    <col min="11267" max="11267" width="79.140625" style="391" customWidth="1"/>
    <col min="11268" max="11268" width="28" style="391" customWidth="1"/>
    <col min="11269" max="11269" width="27.42578125" style="391" customWidth="1"/>
    <col min="11270" max="11270" width="27.28515625" style="391" customWidth="1"/>
    <col min="11271" max="11520" width="9.140625" style="391"/>
    <col min="11521" max="11521" width="22.42578125" style="391" customWidth="1"/>
    <col min="11522" max="11522" width="7" style="391" customWidth="1"/>
    <col min="11523" max="11523" width="79.140625" style="391" customWidth="1"/>
    <col min="11524" max="11524" width="28" style="391" customWidth="1"/>
    <col min="11525" max="11525" width="27.42578125" style="391" customWidth="1"/>
    <col min="11526" max="11526" width="27.28515625" style="391" customWidth="1"/>
    <col min="11527" max="11776" width="9.140625" style="391"/>
    <col min="11777" max="11777" width="22.42578125" style="391" customWidth="1"/>
    <col min="11778" max="11778" width="7" style="391" customWidth="1"/>
    <col min="11779" max="11779" width="79.140625" style="391" customWidth="1"/>
    <col min="11780" max="11780" width="28" style="391" customWidth="1"/>
    <col min="11781" max="11781" width="27.42578125" style="391" customWidth="1"/>
    <col min="11782" max="11782" width="27.28515625" style="391" customWidth="1"/>
    <col min="11783" max="12032" width="9.140625" style="391"/>
    <col min="12033" max="12033" width="22.42578125" style="391" customWidth="1"/>
    <col min="12034" max="12034" width="7" style="391" customWidth="1"/>
    <col min="12035" max="12035" width="79.140625" style="391" customWidth="1"/>
    <col min="12036" max="12036" width="28" style="391" customWidth="1"/>
    <col min="12037" max="12037" width="27.42578125" style="391" customWidth="1"/>
    <col min="12038" max="12038" width="27.28515625" style="391" customWidth="1"/>
    <col min="12039" max="12288" width="9.140625" style="391"/>
    <col min="12289" max="12289" width="22.42578125" style="391" customWidth="1"/>
    <col min="12290" max="12290" width="7" style="391" customWidth="1"/>
    <col min="12291" max="12291" width="79.140625" style="391" customWidth="1"/>
    <col min="12292" max="12292" width="28" style="391" customWidth="1"/>
    <col min="12293" max="12293" width="27.42578125" style="391" customWidth="1"/>
    <col min="12294" max="12294" width="27.28515625" style="391" customWidth="1"/>
    <col min="12295" max="12544" width="9.140625" style="391"/>
    <col min="12545" max="12545" width="22.42578125" style="391" customWidth="1"/>
    <col min="12546" max="12546" width="7" style="391" customWidth="1"/>
    <col min="12547" max="12547" width="79.140625" style="391" customWidth="1"/>
    <col min="12548" max="12548" width="28" style="391" customWidth="1"/>
    <col min="12549" max="12549" width="27.42578125" style="391" customWidth="1"/>
    <col min="12550" max="12550" width="27.28515625" style="391" customWidth="1"/>
    <col min="12551" max="12800" width="9.140625" style="391"/>
    <col min="12801" max="12801" width="22.42578125" style="391" customWidth="1"/>
    <col min="12802" max="12802" width="7" style="391" customWidth="1"/>
    <col min="12803" max="12803" width="79.140625" style="391" customWidth="1"/>
    <col min="12804" max="12804" width="28" style="391" customWidth="1"/>
    <col min="12805" max="12805" width="27.42578125" style="391" customWidth="1"/>
    <col min="12806" max="12806" width="27.28515625" style="391" customWidth="1"/>
    <col min="12807" max="13056" width="9.140625" style="391"/>
    <col min="13057" max="13057" width="22.42578125" style="391" customWidth="1"/>
    <col min="13058" max="13058" width="7" style="391" customWidth="1"/>
    <col min="13059" max="13059" width="79.140625" style="391" customWidth="1"/>
    <col min="13060" max="13060" width="28" style="391" customWidth="1"/>
    <col min="13061" max="13061" width="27.42578125" style="391" customWidth="1"/>
    <col min="13062" max="13062" width="27.28515625" style="391" customWidth="1"/>
    <col min="13063" max="13312" width="9.140625" style="391"/>
    <col min="13313" max="13313" width="22.42578125" style="391" customWidth="1"/>
    <col min="13314" max="13314" width="7" style="391" customWidth="1"/>
    <col min="13315" max="13315" width="79.140625" style="391" customWidth="1"/>
    <col min="13316" max="13316" width="28" style="391" customWidth="1"/>
    <col min="13317" max="13317" width="27.42578125" style="391" customWidth="1"/>
    <col min="13318" max="13318" width="27.28515625" style="391" customWidth="1"/>
    <col min="13319" max="13568" width="9.140625" style="391"/>
    <col min="13569" max="13569" width="22.42578125" style="391" customWidth="1"/>
    <col min="13570" max="13570" width="7" style="391" customWidth="1"/>
    <col min="13571" max="13571" width="79.140625" style="391" customWidth="1"/>
    <col min="13572" max="13572" width="28" style="391" customWidth="1"/>
    <col min="13573" max="13573" width="27.42578125" style="391" customWidth="1"/>
    <col min="13574" max="13574" width="27.28515625" style="391" customWidth="1"/>
    <col min="13575" max="13824" width="9.140625" style="391"/>
    <col min="13825" max="13825" width="22.42578125" style="391" customWidth="1"/>
    <col min="13826" max="13826" width="7" style="391" customWidth="1"/>
    <col min="13827" max="13827" width="79.140625" style="391" customWidth="1"/>
    <col min="13828" max="13828" width="28" style="391" customWidth="1"/>
    <col min="13829" max="13829" width="27.42578125" style="391" customWidth="1"/>
    <col min="13830" max="13830" width="27.28515625" style="391" customWidth="1"/>
    <col min="13831" max="14080" width="9.140625" style="391"/>
    <col min="14081" max="14081" width="22.42578125" style="391" customWidth="1"/>
    <col min="14082" max="14082" width="7" style="391" customWidth="1"/>
    <col min="14083" max="14083" width="79.140625" style="391" customWidth="1"/>
    <col min="14084" max="14084" width="28" style="391" customWidth="1"/>
    <col min="14085" max="14085" width="27.42578125" style="391" customWidth="1"/>
    <col min="14086" max="14086" width="27.28515625" style="391" customWidth="1"/>
    <col min="14087" max="14336" width="9.140625" style="391"/>
    <col min="14337" max="14337" width="22.42578125" style="391" customWidth="1"/>
    <col min="14338" max="14338" width="7" style="391" customWidth="1"/>
    <col min="14339" max="14339" width="79.140625" style="391" customWidth="1"/>
    <col min="14340" max="14340" width="28" style="391" customWidth="1"/>
    <col min="14341" max="14341" width="27.42578125" style="391" customWidth="1"/>
    <col min="14342" max="14342" width="27.28515625" style="391" customWidth="1"/>
    <col min="14343" max="14592" width="9.140625" style="391"/>
    <col min="14593" max="14593" width="22.42578125" style="391" customWidth="1"/>
    <col min="14594" max="14594" width="7" style="391" customWidth="1"/>
    <col min="14595" max="14595" width="79.140625" style="391" customWidth="1"/>
    <col min="14596" max="14596" width="28" style="391" customWidth="1"/>
    <col min="14597" max="14597" width="27.42578125" style="391" customWidth="1"/>
    <col min="14598" max="14598" width="27.28515625" style="391" customWidth="1"/>
    <col min="14599" max="14848" width="9.140625" style="391"/>
    <col min="14849" max="14849" width="22.42578125" style="391" customWidth="1"/>
    <col min="14850" max="14850" width="7" style="391" customWidth="1"/>
    <col min="14851" max="14851" width="79.140625" style="391" customWidth="1"/>
    <col min="14852" max="14852" width="28" style="391" customWidth="1"/>
    <col min="14853" max="14853" width="27.42578125" style="391" customWidth="1"/>
    <col min="14854" max="14854" width="27.28515625" style="391" customWidth="1"/>
    <col min="14855" max="15104" width="9.140625" style="391"/>
    <col min="15105" max="15105" width="22.42578125" style="391" customWidth="1"/>
    <col min="15106" max="15106" width="7" style="391" customWidth="1"/>
    <col min="15107" max="15107" width="79.140625" style="391" customWidth="1"/>
    <col min="15108" max="15108" width="28" style="391" customWidth="1"/>
    <col min="15109" max="15109" width="27.42578125" style="391" customWidth="1"/>
    <col min="15110" max="15110" width="27.28515625" style="391" customWidth="1"/>
    <col min="15111" max="15360" width="9.140625" style="391"/>
    <col min="15361" max="15361" width="22.42578125" style="391" customWidth="1"/>
    <col min="15362" max="15362" width="7" style="391" customWidth="1"/>
    <col min="15363" max="15363" width="79.140625" style="391" customWidth="1"/>
    <col min="15364" max="15364" width="28" style="391" customWidth="1"/>
    <col min="15365" max="15365" width="27.42578125" style="391" customWidth="1"/>
    <col min="15366" max="15366" width="27.28515625" style="391" customWidth="1"/>
    <col min="15367" max="15616" width="9.140625" style="391"/>
    <col min="15617" max="15617" width="22.42578125" style="391" customWidth="1"/>
    <col min="15618" max="15618" width="7" style="391" customWidth="1"/>
    <col min="15619" max="15619" width="79.140625" style="391" customWidth="1"/>
    <col min="15620" max="15620" width="28" style="391" customWidth="1"/>
    <col min="15621" max="15621" width="27.42578125" style="391" customWidth="1"/>
    <col min="15622" max="15622" width="27.28515625" style="391" customWidth="1"/>
    <col min="15623" max="15872" width="9.140625" style="391"/>
    <col min="15873" max="15873" width="22.42578125" style="391" customWidth="1"/>
    <col min="15874" max="15874" width="7" style="391" customWidth="1"/>
    <col min="15875" max="15875" width="79.140625" style="391" customWidth="1"/>
    <col min="15876" max="15876" width="28" style="391" customWidth="1"/>
    <col min="15877" max="15877" width="27.42578125" style="391" customWidth="1"/>
    <col min="15878" max="15878" width="27.28515625" style="391" customWidth="1"/>
    <col min="15879" max="16128" width="9.140625" style="391"/>
    <col min="16129" max="16129" width="22.42578125" style="391" customWidth="1"/>
    <col min="16130" max="16130" width="7" style="391" customWidth="1"/>
    <col min="16131" max="16131" width="79.140625" style="391" customWidth="1"/>
    <col min="16132" max="16132" width="28" style="391" customWidth="1"/>
    <col min="16133" max="16133" width="27.42578125" style="391" customWidth="1"/>
    <col min="16134" max="16134" width="27.28515625" style="391" customWidth="1"/>
    <col min="16135" max="16384" width="9.140625" style="391"/>
  </cols>
  <sheetData>
    <row r="1" spans="1:11" x14ac:dyDescent="0.25">
      <c r="A1" s="390" t="s">
        <v>327</v>
      </c>
      <c r="B1" s="390"/>
      <c r="C1" s="390"/>
      <c r="D1" s="390"/>
      <c r="E1" s="390"/>
      <c r="F1" s="390"/>
    </row>
    <row r="2" spans="1:11" ht="15.75" customHeight="1" x14ac:dyDescent="0.25">
      <c r="A2" s="392" t="s">
        <v>605</v>
      </c>
      <c r="B2" s="392"/>
      <c r="C2" s="392"/>
      <c r="D2" s="392"/>
      <c r="E2" s="392"/>
      <c r="F2" s="392"/>
    </row>
    <row r="3" spans="1:11" ht="15.75" x14ac:dyDescent="0.25">
      <c r="A3" s="393"/>
      <c r="B3" s="393"/>
      <c r="C3" s="393"/>
      <c r="D3" s="393"/>
      <c r="E3" s="393"/>
      <c r="F3" s="393"/>
    </row>
    <row r="4" spans="1:11" ht="15.75" x14ac:dyDescent="0.25">
      <c r="A4" s="394" t="s">
        <v>328</v>
      </c>
      <c r="B4" s="394"/>
      <c r="C4" s="394"/>
      <c r="D4" s="394"/>
      <c r="E4" s="394"/>
      <c r="F4" s="394"/>
    </row>
    <row r="5" spans="1:11" ht="15.75" x14ac:dyDescent="0.25">
      <c r="A5" s="394" t="s">
        <v>450</v>
      </c>
      <c r="B5" s="394"/>
      <c r="C5" s="394"/>
      <c r="D5" s="394"/>
      <c r="E5" s="394"/>
      <c r="F5" s="394"/>
    </row>
    <row r="6" spans="1:11" ht="15.75" x14ac:dyDescent="0.25">
      <c r="A6" s="394" t="s">
        <v>606</v>
      </c>
      <c r="B6" s="394"/>
      <c r="C6" s="394"/>
      <c r="D6" s="394"/>
      <c r="E6" s="394"/>
      <c r="F6" s="394"/>
    </row>
    <row r="7" spans="1:11" ht="15.75" x14ac:dyDescent="0.25">
      <c r="A7" s="395"/>
      <c r="B7" s="395"/>
      <c r="C7" s="395"/>
    </row>
    <row r="8" spans="1:11" ht="40.5" customHeight="1" x14ac:dyDescent="0.25">
      <c r="A8" s="396" t="s">
        <v>451</v>
      </c>
      <c r="B8" s="396" t="s">
        <v>299</v>
      </c>
      <c r="C8" s="396" t="s">
        <v>329</v>
      </c>
      <c r="D8" s="397">
        <v>2023</v>
      </c>
      <c r="E8" s="397">
        <v>2024</v>
      </c>
      <c r="F8" s="397">
        <v>2025</v>
      </c>
    </row>
    <row r="9" spans="1:11" ht="15.75" x14ac:dyDescent="0.25">
      <c r="A9" s="398" t="s">
        <v>482</v>
      </c>
      <c r="B9" s="396">
        <v>1</v>
      </c>
      <c r="C9" s="399" t="s">
        <v>483</v>
      </c>
      <c r="D9" s="400"/>
      <c r="E9" s="400" t="s">
        <v>607</v>
      </c>
      <c r="F9" s="401" t="s">
        <v>459</v>
      </c>
    </row>
    <row r="10" spans="1:11" ht="63" x14ac:dyDescent="0.25">
      <c r="A10" s="398"/>
      <c r="B10" s="396">
        <v>2</v>
      </c>
      <c r="C10" s="399" t="s">
        <v>338</v>
      </c>
      <c r="D10" s="402" t="s">
        <v>608</v>
      </c>
      <c r="E10" s="402" t="s">
        <v>609</v>
      </c>
      <c r="F10" s="402" t="s">
        <v>610</v>
      </c>
      <c r="K10" s="391" t="s">
        <v>330</v>
      </c>
    </row>
    <row r="11" spans="1:11" ht="63" x14ac:dyDescent="0.25">
      <c r="A11" s="398"/>
      <c r="B11" s="396">
        <v>3</v>
      </c>
      <c r="C11" s="399" t="s">
        <v>339</v>
      </c>
      <c r="D11" s="402" t="s">
        <v>611</v>
      </c>
      <c r="E11" s="403" t="s">
        <v>612</v>
      </c>
      <c r="F11" s="401"/>
    </row>
    <row r="12" spans="1:11" ht="31.5" x14ac:dyDescent="0.25">
      <c r="A12" s="398"/>
      <c r="B12" s="396">
        <v>4</v>
      </c>
      <c r="C12" s="399" t="s">
        <v>484</v>
      </c>
      <c r="D12" s="402" t="s">
        <v>485</v>
      </c>
      <c r="E12" s="402" t="s">
        <v>613</v>
      </c>
      <c r="F12" s="402" t="s">
        <v>614</v>
      </c>
    </row>
    <row r="13" spans="1:11" ht="31.5" x14ac:dyDescent="0.25">
      <c r="A13" s="398"/>
      <c r="B13" s="396">
        <v>5</v>
      </c>
      <c r="C13" s="399" t="s">
        <v>615</v>
      </c>
      <c r="D13" s="402" t="s">
        <v>616</v>
      </c>
      <c r="E13" s="402" t="s">
        <v>617</v>
      </c>
      <c r="F13" s="404" t="s">
        <v>618</v>
      </c>
    </row>
    <row r="14" spans="1:11" ht="15.75" x14ac:dyDescent="0.25">
      <c r="A14" s="398"/>
      <c r="B14" s="396">
        <v>6</v>
      </c>
      <c r="C14" s="399" t="s">
        <v>487</v>
      </c>
      <c r="D14" s="404" t="s">
        <v>486</v>
      </c>
      <c r="E14" s="403"/>
      <c r="F14" s="401"/>
    </row>
    <row r="15" spans="1:11" ht="31.5" x14ac:dyDescent="0.25">
      <c r="A15" s="398"/>
      <c r="B15" s="396">
        <v>7</v>
      </c>
      <c r="C15" s="399" t="s">
        <v>488</v>
      </c>
      <c r="D15" s="402" t="s">
        <v>619</v>
      </c>
      <c r="E15" s="403"/>
      <c r="F15" s="401"/>
    </row>
    <row r="16" spans="1:11" ht="31.5" x14ac:dyDescent="0.25">
      <c r="A16" s="398"/>
      <c r="B16" s="396">
        <v>8</v>
      </c>
      <c r="C16" s="399" t="s">
        <v>489</v>
      </c>
      <c r="D16" s="402" t="s">
        <v>620</v>
      </c>
      <c r="E16" s="404" t="s">
        <v>621</v>
      </c>
      <c r="F16" s="402" t="s">
        <v>622</v>
      </c>
    </row>
    <row r="17" spans="1:6" ht="31.5" x14ac:dyDescent="0.25">
      <c r="A17" s="398"/>
      <c r="B17" s="396">
        <v>9</v>
      </c>
      <c r="C17" s="399" t="s">
        <v>490</v>
      </c>
      <c r="D17" s="403" t="s">
        <v>623</v>
      </c>
      <c r="E17" s="402" t="s">
        <v>624</v>
      </c>
      <c r="F17" s="402" t="s">
        <v>625</v>
      </c>
    </row>
    <row r="18" spans="1:6" ht="47.25" x14ac:dyDescent="0.25">
      <c r="A18" s="398"/>
      <c r="B18" s="396">
        <v>10</v>
      </c>
      <c r="C18" s="399" t="s">
        <v>491</v>
      </c>
      <c r="D18" s="402" t="s">
        <v>626</v>
      </c>
      <c r="E18" s="402" t="s">
        <v>627</v>
      </c>
      <c r="F18" s="403" t="s">
        <v>628</v>
      </c>
    </row>
    <row r="19" spans="1:6" ht="15.75" x14ac:dyDescent="0.25">
      <c r="A19" s="398"/>
      <c r="B19" s="396">
        <v>11</v>
      </c>
      <c r="C19" s="399" t="s">
        <v>493</v>
      </c>
      <c r="D19" s="402" t="s">
        <v>607</v>
      </c>
      <c r="E19" s="403"/>
      <c r="F19" s="401"/>
    </row>
    <row r="20" spans="1:6" ht="15.75" x14ac:dyDescent="0.25">
      <c r="A20" s="398"/>
      <c r="B20" s="396">
        <v>12</v>
      </c>
      <c r="C20" s="399" t="s">
        <v>629</v>
      </c>
      <c r="D20" s="403" t="s">
        <v>459</v>
      </c>
      <c r="E20" s="403"/>
      <c r="F20" s="401"/>
    </row>
    <row r="21" spans="1:6" ht="31.5" x14ac:dyDescent="0.25">
      <c r="A21" s="398"/>
      <c r="B21" s="396">
        <v>13</v>
      </c>
      <c r="C21" s="399" t="s">
        <v>340</v>
      </c>
      <c r="D21" s="405" t="s">
        <v>630</v>
      </c>
      <c r="E21" s="405" t="s">
        <v>631</v>
      </c>
      <c r="F21" s="406" t="s">
        <v>632</v>
      </c>
    </row>
    <row r="22" spans="1:6" ht="31.5" x14ac:dyDescent="0.25">
      <c r="A22" s="398"/>
      <c r="B22" s="396">
        <v>14</v>
      </c>
      <c r="C22" s="399" t="s">
        <v>341</v>
      </c>
      <c r="D22" s="402" t="s">
        <v>492</v>
      </c>
      <c r="E22" s="403" t="s">
        <v>459</v>
      </c>
      <c r="F22" s="403" t="s">
        <v>459</v>
      </c>
    </row>
    <row r="23" spans="1:6" ht="31.5" x14ac:dyDescent="0.25">
      <c r="A23" s="398"/>
      <c r="B23" s="396">
        <v>15</v>
      </c>
      <c r="C23" s="399" t="s">
        <v>494</v>
      </c>
      <c r="D23" s="402" t="s">
        <v>492</v>
      </c>
      <c r="E23" s="403"/>
      <c r="F23" s="401"/>
    </row>
    <row r="24" spans="1:6" ht="31.5" x14ac:dyDescent="0.25">
      <c r="A24" s="398"/>
      <c r="B24" s="396">
        <v>16</v>
      </c>
      <c r="C24" s="399" t="s">
        <v>342</v>
      </c>
      <c r="D24" s="402" t="s">
        <v>492</v>
      </c>
      <c r="E24" s="407" t="s">
        <v>633</v>
      </c>
      <c r="F24" s="407" t="s">
        <v>633</v>
      </c>
    </row>
    <row r="25" spans="1:6" ht="15.75" x14ac:dyDescent="0.25">
      <c r="A25" s="398"/>
      <c r="B25" s="396">
        <v>17</v>
      </c>
      <c r="C25" s="399" t="s">
        <v>495</v>
      </c>
      <c r="D25" s="403" t="s">
        <v>486</v>
      </c>
      <c r="E25" s="403"/>
      <c r="F25" s="401"/>
    </row>
    <row r="26" spans="1:6" ht="31.5" x14ac:dyDescent="0.25">
      <c r="A26" s="398"/>
      <c r="B26" s="396">
        <v>18</v>
      </c>
      <c r="C26" s="399" t="s">
        <v>343</v>
      </c>
      <c r="D26" s="402" t="s">
        <v>492</v>
      </c>
      <c r="E26" s="402" t="s">
        <v>459</v>
      </c>
      <c r="F26" s="401"/>
    </row>
    <row r="27" spans="1:6" ht="15.75" x14ac:dyDescent="0.25">
      <c r="A27" s="398"/>
      <c r="B27" s="396">
        <v>19</v>
      </c>
      <c r="C27" s="399" t="s">
        <v>496</v>
      </c>
      <c r="D27" s="403" t="s">
        <v>486</v>
      </c>
      <c r="E27" s="402"/>
      <c r="F27" s="401"/>
    </row>
    <row r="28" spans="1:6" ht="15.75" x14ac:dyDescent="0.25">
      <c r="A28" s="398"/>
      <c r="B28" s="396">
        <v>20</v>
      </c>
      <c r="C28" s="399" t="s">
        <v>497</v>
      </c>
      <c r="D28" s="403" t="s">
        <v>459</v>
      </c>
      <c r="E28" s="402"/>
      <c r="F28" s="401"/>
    </row>
    <row r="29" spans="1:6" ht="15.75" x14ac:dyDescent="0.25">
      <c r="A29" s="398"/>
      <c r="B29" s="396">
        <v>21</v>
      </c>
      <c r="C29" s="399" t="s">
        <v>634</v>
      </c>
      <c r="D29" s="403"/>
      <c r="E29" s="402" t="s">
        <v>607</v>
      </c>
      <c r="F29" s="401" t="s">
        <v>459</v>
      </c>
    </row>
    <row r="30" spans="1:6" ht="47.25" x14ac:dyDescent="0.25">
      <c r="A30" s="398"/>
      <c r="B30" s="396">
        <v>22</v>
      </c>
      <c r="C30" s="399" t="s">
        <v>635</v>
      </c>
      <c r="D30" s="403"/>
      <c r="E30" s="402" t="s">
        <v>607</v>
      </c>
      <c r="F30" s="401" t="s">
        <v>459</v>
      </c>
    </row>
    <row r="31" spans="1:6" ht="15.75" x14ac:dyDescent="0.25">
      <c r="A31" s="398"/>
      <c r="B31" s="396">
        <v>23</v>
      </c>
      <c r="C31" s="399" t="s">
        <v>636</v>
      </c>
      <c r="D31" s="403" t="s">
        <v>607</v>
      </c>
      <c r="E31" s="402" t="s">
        <v>459</v>
      </c>
      <c r="F31" s="401" t="s">
        <v>459</v>
      </c>
    </row>
    <row r="32" spans="1:6" ht="15.75" x14ac:dyDescent="0.25">
      <c r="A32" s="398"/>
      <c r="B32" s="396">
        <v>24</v>
      </c>
      <c r="C32" s="399" t="s">
        <v>498</v>
      </c>
      <c r="D32" s="403" t="s">
        <v>607</v>
      </c>
      <c r="E32" s="402" t="s">
        <v>459</v>
      </c>
      <c r="F32" s="401"/>
    </row>
    <row r="33" spans="1:6" ht="15.75" x14ac:dyDescent="0.25">
      <c r="A33" s="398" t="s">
        <v>499</v>
      </c>
      <c r="B33" s="396">
        <v>1</v>
      </c>
      <c r="C33" s="399" t="s">
        <v>339</v>
      </c>
      <c r="D33" s="403" t="s">
        <v>637</v>
      </c>
      <c r="E33" s="403" t="s">
        <v>452</v>
      </c>
      <c r="F33" s="401"/>
    </row>
    <row r="34" spans="1:6" ht="15.75" x14ac:dyDescent="0.25">
      <c r="A34" s="398"/>
      <c r="B34" s="396">
        <v>2</v>
      </c>
      <c r="C34" s="399" t="s">
        <v>500</v>
      </c>
      <c r="D34" s="403" t="s">
        <v>638</v>
      </c>
      <c r="E34" s="403" t="s">
        <v>639</v>
      </c>
      <c r="F34" s="403" t="s">
        <v>640</v>
      </c>
    </row>
    <row r="35" spans="1:6" ht="15.75" x14ac:dyDescent="0.25">
      <c r="A35" s="398"/>
      <c r="B35" s="396">
        <v>3</v>
      </c>
      <c r="C35" s="399" t="s">
        <v>501</v>
      </c>
      <c r="D35" s="403" t="s">
        <v>607</v>
      </c>
      <c r="E35" s="402"/>
      <c r="F35" s="401"/>
    </row>
    <row r="36" spans="1:6" ht="18.75" x14ac:dyDescent="0.25">
      <c r="A36" s="398"/>
      <c r="B36" s="396">
        <v>4</v>
      </c>
      <c r="C36" s="399" t="s">
        <v>502</v>
      </c>
      <c r="D36" s="401"/>
      <c r="E36" s="402" t="s">
        <v>607</v>
      </c>
      <c r="F36" s="403" t="s">
        <v>459</v>
      </c>
    </row>
    <row r="37" spans="1:6" ht="18.75" x14ac:dyDescent="0.25">
      <c r="A37" s="398"/>
      <c r="B37" s="396">
        <v>5</v>
      </c>
      <c r="C37" s="399" t="s">
        <v>503</v>
      </c>
      <c r="D37" s="402"/>
      <c r="E37" s="402" t="s">
        <v>607</v>
      </c>
      <c r="F37" s="401"/>
    </row>
    <row r="38" spans="1:6" ht="15.75" x14ac:dyDescent="0.25">
      <c r="A38" s="398"/>
      <c r="B38" s="396">
        <v>6</v>
      </c>
      <c r="C38" s="399" t="s">
        <v>344</v>
      </c>
      <c r="D38" s="403" t="s">
        <v>607</v>
      </c>
      <c r="E38" s="403" t="s">
        <v>459</v>
      </c>
      <c r="F38" s="401"/>
    </row>
    <row r="39" spans="1:6" ht="15.75" x14ac:dyDescent="0.25">
      <c r="A39" s="398"/>
      <c r="B39" s="396">
        <v>7</v>
      </c>
      <c r="C39" s="399" t="s">
        <v>504</v>
      </c>
      <c r="D39" s="402" t="s">
        <v>607</v>
      </c>
      <c r="E39" s="403" t="s">
        <v>459</v>
      </c>
      <c r="F39" s="401"/>
    </row>
    <row r="40" spans="1:6" ht="18.75" x14ac:dyDescent="0.25">
      <c r="A40" s="398"/>
      <c r="B40" s="396">
        <v>8</v>
      </c>
      <c r="C40" s="399" t="s">
        <v>505</v>
      </c>
      <c r="D40" s="402"/>
      <c r="E40" s="402" t="s">
        <v>607</v>
      </c>
      <c r="F40" s="401"/>
    </row>
    <row r="41" spans="1:6" ht="15.75" x14ac:dyDescent="0.25">
      <c r="A41" s="398"/>
      <c r="B41" s="396">
        <v>9</v>
      </c>
      <c r="C41" s="399" t="s">
        <v>641</v>
      </c>
      <c r="D41" s="402" t="s">
        <v>642</v>
      </c>
      <c r="E41" s="402"/>
      <c r="F41" s="401"/>
    </row>
    <row r="42" spans="1:6" ht="15.75" x14ac:dyDescent="0.25">
      <c r="A42" s="398"/>
      <c r="B42" s="396">
        <v>10</v>
      </c>
      <c r="C42" s="399" t="s">
        <v>455</v>
      </c>
      <c r="D42" s="402" t="s">
        <v>607</v>
      </c>
      <c r="E42" s="402" t="s">
        <v>459</v>
      </c>
      <c r="F42" s="401" t="s">
        <v>459</v>
      </c>
    </row>
    <row r="43" spans="1:6" ht="15.75" x14ac:dyDescent="0.25">
      <c r="A43" s="398"/>
      <c r="B43" s="396">
        <v>11</v>
      </c>
      <c r="C43" s="399" t="s">
        <v>643</v>
      </c>
      <c r="D43" s="402" t="s">
        <v>642</v>
      </c>
      <c r="E43" s="402"/>
      <c r="F43" s="401"/>
    </row>
    <row r="44" spans="1:6" ht="15.75" x14ac:dyDescent="0.25">
      <c r="A44" s="398"/>
      <c r="B44" s="396">
        <v>12</v>
      </c>
      <c r="C44" s="408" t="s">
        <v>414</v>
      </c>
      <c r="D44" s="403">
        <v>3</v>
      </c>
      <c r="E44" s="409">
        <v>3</v>
      </c>
      <c r="F44" s="410">
        <v>3</v>
      </c>
    </row>
    <row r="45" spans="1:6" ht="15.75" x14ac:dyDescent="0.25">
      <c r="A45" s="398" t="s">
        <v>453</v>
      </c>
      <c r="B45" s="411">
        <v>1</v>
      </c>
      <c r="C45" s="412" t="s">
        <v>339</v>
      </c>
      <c r="D45" s="403" t="s">
        <v>607</v>
      </c>
      <c r="E45" s="403"/>
      <c r="F45" s="401"/>
    </row>
    <row r="46" spans="1:6" ht="15.75" x14ac:dyDescent="0.25">
      <c r="A46" s="398"/>
      <c r="B46" s="411">
        <v>2</v>
      </c>
      <c r="C46" s="412" t="s">
        <v>644</v>
      </c>
      <c r="D46" s="403" t="s">
        <v>459</v>
      </c>
      <c r="E46" s="403"/>
      <c r="F46" s="401"/>
    </row>
    <row r="47" spans="1:6" ht="15.75" x14ac:dyDescent="0.25">
      <c r="A47" s="398"/>
      <c r="B47" s="411">
        <v>3</v>
      </c>
      <c r="C47" s="412" t="s">
        <v>506</v>
      </c>
      <c r="D47" s="402" t="s">
        <v>607</v>
      </c>
      <c r="E47" s="401" t="s">
        <v>459</v>
      </c>
      <c r="F47" s="401"/>
    </row>
    <row r="48" spans="1:6" ht="15.75" x14ac:dyDescent="0.25">
      <c r="A48" s="398"/>
      <c r="B48" s="411">
        <v>4</v>
      </c>
      <c r="C48" s="412" t="s">
        <v>507</v>
      </c>
      <c r="D48" s="402" t="s">
        <v>607</v>
      </c>
      <c r="E48" s="402" t="s">
        <v>607</v>
      </c>
      <c r="F48" s="401"/>
    </row>
    <row r="49" spans="1:6" ht="15.75" x14ac:dyDescent="0.25">
      <c r="A49" s="398"/>
      <c r="B49" s="411">
        <v>5</v>
      </c>
      <c r="C49" s="412" t="s">
        <v>645</v>
      </c>
      <c r="D49" s="402" t="s">
        <v>607</v>
      </c>
      <c r="E49" s="402" t="s">
        <v>459</v>
      </c>
      <c r="F49" s="401"/>
    </row>
    <row r="50" spans="1:6" ht="15.75" x14ac:dyDescent="0.25">
      <c r="A50" s="398"/>
      <c r="B50" s="411">
        <v>6</v>
      </c>
      <c r="C50" s="412" t="s">
        <v>346</v>
      </c>
      <c r="D50" s="402" t="s">
        <v>607</v>
      </c>
      <c r="E50" s="402" t="s">
        <v>459</v>
      </c>
      <c r="F50" s="401"/>
    </row>
    <row r="51" spans="1:6" ht="18.75" x14ac:dyDescent="0.25">
      <c r="A51" s="398"/>
      <c r="B51" s="411">
        <v>7</v>
      </c>
      <c r="C51" s="412" t="s">
        <v>347</v>
      </c>
      <c r="D51" s="402" t="s">
        <v>607</v>
      </c>
      <c r="E51" s="402" t="s">
        <v>459</v>
      </c>
      <c r="F51" s="401"/>
    </row>
    <row r="52" spans="1:6" ht="15.75" x14ac:dyDescent="0.25">
      <c r="A52" s="398"/>
      <c r="B52" s="411">
        <v>8</v>
      </c>
      <c r="C52" s="412" t="s">
        <v>348</v>
      </c>
      <c r="D52" s="402"/>
      <c r="E52" s="403" t="s">
        <v>607</v>
      </c>
      <c r="F52" s="401"/>
    </row>
    <row r="53" spans="1:6" ht="15.75" x14ac:dyDescent="0.25">
      <c r="A53" s="398"/>
      <c r="B53" s="411">
        <v>9</v>
      </c>
      <c r="C53" s="412" t="s">
        <v>646</v>
      </c>
      <c r="D53" s="402" t="s">
        <v>642</v>
      </c>
      <c r="E53" s="402"/>
      <c r="F53" s="401"/>
    </row>
    <row r="54" spans="1:6" ht="15.75" x14ac:dyDescent="0.25">
      <c r="A54" s="398"/>
      <c r="B54" s="411">
        <v>10</v>
      </c>
      <c r="C54" s="412" t="s">
        <v>647</v>
      </c>
      <c r="D54" s="402" t="s">
        <v>607</v>
      </c>
      <c r="E54" s="402" t="s">
        <v>459</v>
      </c>
      <c r="F54" s="402" t="s">
        <v>459</v>
      </c>
    </row>
    <row r="55" spans="1:6" ht="15.75" x14ac:dyDescent="0.25">
      <c r="A55" s="398"/>
      <c r="B55" s="411">
        <v>11</v>
      </c>
      <c r="C55" s="412" t="s">
        <v>648</v>
      </c>
      <c r="D55" s="402" t="s">
        <v>607</v>
      </c>
      <c r="E55" s="402" t="s">
        <v>459</v>
      </c>
      <c r="F55" s="402" t="s">
        <v>459</v>
      </c>
    </row>
    <row r="56" spans="1:6" ht="15.75" x14ac:dyDescent="0.25">
      <c r="A56" s="398"/>
      <c r="B56" s="411">
        <v>12</v>
      </c>
      <c r="C56" s="412" t="s">
        <v>649</v>
      </c>
      <c r="D56" s="403">
        <v>8</v>
      </c>
      <c r="E56" s="403">
        <v>8</v>
      </c>
      <c r="F56" s="404">
        <v>8</v>
      </c>
    </row>
    <row r="57" spans="1:6" ht="15.75" x14ac:dyDescent="0.25">
      <c r="A57" s="398" t="s">
        <v>454</v>
      </c>
      <c r="B57" s="411">
        <v>1</v>
      </c>
      <c r="C57" s="399" t="s">
        <v>415</v>
      </c>
      <c r="D57" s="401"/>
      <c r="E57" s="403" t="s">
        <v>607</v>
      </c>
      <c r="F57" s="401"/>
    </row>
    <row r="58" spans="1:6" ht="18.75" x14ac:dyDescent="0.25">
      <c r="A58" s="398"/>
      <c r="B58" s="411">
        <v>2</v>
      </c>
      <c r="C58" s="399" t="s">
        <v>508</v>
      </c>
      <c r="D58" s="403" t="s">
        <v>607</v>
      </c>
      <c r="E58" s="413" t="s">
        <v>459</v>
      </c>
      <c r="F58" s="401"/>
    </row>
    <row r="59" spans="1:6" ht="15.75" x14ac:dyDescent="0.25">
      <c r="A59" s="398"/>
      <c r="B59" s="411">
        <v>3</v>
      </c>
      <c r="C59" s="399" t="s">
        <v>455</v>
      </c>
      <c r="D59" s="414" t="s">
        <v>642</v>
      </c>
      <c r="E59" s="403"/>
      <c r="F59" s="401"/>
    </row>
    <row r="60" spans="1:6" ht="15.75" x14ac:dyDescent="0.25">
      <c r="A60" s="398"/>
      <c r="B60" s="411">
        <v>4</v>
      </c>
      <c r="C60" s="399" t="s">
        <v>350</v>
      </c>
      <c r="D60" s="414" t="s">
        <v>642</v>
      </c>
      <c r="E60" s="403"/>
      <c r="F60" s="401"/>
    </row>
    <row r="61" spans="1:6" ht="15.75" x14ac:dyDescent="0.25">
      <c r="A61" s="398"/>
      <c r="B61" s="411">
        <v>5</v>
      </c>
      <c r="C61" s="399" t="s">
        <v>509</v>
      </c>
      <c r="D61" s="402"/>
      <c r="E61" s="403" t="s">
        <v>607</v>
      </c>
      <c r="F61" s="413" t="s">
        <v>459</v>
      </c>
    </row>
    <row r="62" spans="1:6" ht="18.75" x14ac:dyDescent="0.25">
      <c r="A62" s="398"/>
      <c r="B62" s="411">
        <v>6</v>
      </c>
      <c r="C62" s="399" t="s">
        <v>510</v>
      </c>
      <c r="D62" s="402"/>
      <c r="E62" s="403" t="s">
        <v>607</v>
      </c>
      <c r="F62" s="413" t="s">
        <v>459</v>
      </c>
    </row>
    <row r="63" spans="1:6" ht="15.75" x14ac:dyDescent="0.25">
      <c r="A63" s="398"/>
      <c r="B63" s="411">
        <v>7</v>
      </c>
      <c r="C63" s="399" t="s">
        <v>650</v>
      </c>
      <c r="D63" s="402" t="s">
        <v>607</v>
      </c>
      <c r="E63" s="403" t="s">
        <v>459</v>
      </c>
      <c r="F63" s="401"/>
    </row>
    <row r="64" spans="1:6" ht="18.75" x14ac:dyDescent="0.25">
      <c r="A64" s="398"/>
      <c r="B64" s="411">
        <v>8</v>
      </c>
      <c r="C64" s="399" t="s">
        <v>511</v>
      </c>
      <c r="D64" s="402" t="s">
        <v>607</v>
      </c>
      <c r="E64" s="403" t="s">
        <v>459</v>
      </c>
      <c r="F64" s="401"/>
    </row>
    <row r="65" spans="1:6" ht="18.75" x14ac:dyDescent="0.25">
      <c r="A65" s="398"/>
      <c r="B65" s="411">
        <v>9</v>
      </c>
      <c r="C65" s="415" t="s">
        <v>351</v>
      </c>
      <c r="D65" s="402" t="s">
        <v>607</v>
      </c>
      <c r="E65" s="403" t="s">
        <v>459</v>
      </c>
      <c r="F65" s="401"/>
    </row>
    <row r="66" spans="1:6" ht="15.75" x14ac:dyDescent="0.25">
      <c r="A66" s="398"/>
      <c r="B66" s="411">
        <v>10</v>
      </c>
      <c r="C66" s="416" t="s">
        <v>416</v>
      </c>
      <c r="D66" s="402" t="s">
        <v>607</v>
      </c>
      <c r="E66" s="403" t="s">
        <v>459</v>
      </c>
      <c r="F66" s="401"/>
    </row>
    <row r="67" spans="1:6" ht="47.25" x14ac:dyDescent="0.25">
      <c r="A67" s="398"/>
      <c r="B67" s="411">
        <v>11</v>
      </c>
      <c r="C67" s="416" t="s">
        <v>651</v>
      </c>
      <c r="D67" s="402" t="s">
        <v>456</v>
      </c>
      <c r="E67" s="402" t="s">
        <v>457</v>
      </c>
      <c r="F67" s="402" t="s">
        <v>458</v>
      </c>
    </row>
    <row r="68" spans="1:6" ht="31.5" x14ac:dyDescent="0.25">
      <c r="A68" s="398"/>
      <c r="B68" s="411">
        <v>12</v>
      </c>
      <c r="C68" s="416" t="s">
        <v>417</v>
      </c>
      <c r="D68" s="402" t="s">
        <v>607</v>
      </c>
      <c r="E68" s="403" t="s">
        <v>459</v>
      </c>
      <c r="F68" s="401"/>
    </row>
    <row r="69" spans="1:6" ht="15.75" x14ac:dyDescent="0.25">
      <c r="A69" s="398"/>
      <c r="B69" s="411">
        <v>13</v>
      </c>
      <c r="C69" s="416" t="s">
        <v>414</v>
      </c>
      <c r="D69" s="402">
        <v>5</v>
      </c>
      <c r="E69" s="403">
        <v>3</v>
      </c>
      <c r="F69" s="403">
        <v>6</v>
      </c>
    </row>
    <row r="70" spans="1:6" ht="15.75" x14ac:dyDescent="0.25">
      <c r="A70" s="398"/>
      <c r="B70" s="411">
        <v>14</v>
      </c>
      <c r="C70" s="416" t="s">
        <v>652</v>
      </c>
      <c r="D70" s="402" t="s">
        <v>607</v>
      </c>
      <c r="E70" s="403" t="s">
        <v>459</v>
      </c>
      <c r="F70" s="401"/>
    </row>
    <row r="71" spans="1:6" ht="15.75" x14ac:dyDescent="0.25">
      <c r="A71" s="398"/>
      <c r="B71" s="411">
        <v>15</v>
      </c>
      <c r="C71" s="416" t="s">
        <v>512</v>
      </c>
      <c r="D71" s="402" t="s">
        <v>653</v>
      </c>
      <c r="E71" s="403"/>
      <c r="F71" s="401"/>
    </row>
    <row r="72" spans="1:6" ht="15.75" x14ac:dyDescent="0.25">
      <c r="A72" s="398"/>
      <c r="B72" s="411">
        <v>16</v>
      </c>
      <c r="C72" s="416" t="s">
        <v>513</v>
      </c>
      <c r="D72" s="402" t="s">
        <v>607</v>
      </c>
      <c r="E72" s="403" t="s">
        <v>459</v>
      </c>
      <c r="F72" s="401"/>
    </row>
    <row r="73" spans="1:6" ht="15.75" x14ac:dyDescent="0.25">
      <c r="A73" s="398"/>
      <c r="B73" s="411">
        <v>17</v>
      </c>
      <c r="C73" s="416" t="s">
        <v>654</v>
      </c>
      <c r="D73" s="402" t="s">
        <v>607</v>
      </c>
      <c r="E73" s="403" t="s">
        <v>459</v>
      </c>
      <c r="F73" s="403" t="s">
        <v>459</v>
      </c>
    </row>
    <row r="74" spans="1:6" ht="15.75" x14ac:dyDescent="0.25">
      <c r="A74" s="398"/>
      <c r="B74" s="411">
        <v>18</v>
      </c>
      <c r="C74" s="416" t="s">
        <v>514</v>
      </c>
      <c r="D74" s="402" t="s">
        <v>607</v>
      </c>
      <c r="E74" s="403" t="s">
        <v>459</v>
      </c>
      <c r="F74" s="401"/>
    </row>
    <row r="75" spans="1:6" ht="31.5" x14ac:dyDescent="0.25">
      <c r="A75" s="398" t="s">
        <v>515</v>
      </c>
      <c r="B75" s="411">
        <v>1</v>
      </c>
      <c r="C75" s="412" t="s">
        <v>516</v>
      </c>
      <c r="D75" s="402" t="s">
        <v>517</v>
      </c>
      <c r="E75" s="403"/>
      <c r="F75" s="401"/>
    </row>
    <row r="76" spans="1:6" ht="15.75" x14ac:dyDescent="0.25">
      <c r="A76" s="398"/>
      <c r="B76" s="411">
        <v>2</v>
      </c>
      <c r="C76" s="412" t="s">
        <v>518</v>
      </c>
      <c r="D76" s="402"/>
      <c r="E76" s="402"/>
      <c r="F76" s="401" t="s">
        <v>607</v>
      </c>
    </row>
    <row r="77" spans="1:6" ht="15.75" x14ac:dyDescent="0.25">
      <c r="A77" s="398"/>
      <c r="B77" s="411">
        <v>3</v>
      </c>
      <c r="C77" s="412" t="s">
        <v>501</v>
      </c>
      <c r="D77" s="402" t="s">
        <v>607</v>
      </c>
      <c r="E77" s="402"/>
      <c r="F77" s="401"/>
    </row>
    <row r="78" spans="1:6" ht="18.75" x14ac:dyDescent="0.25">
      <c r="A78" s="398"/>
      <c r="B78" s="411">
        <v>4</v>
      </c>
      <c r="C78" s="412" t="s">
        <v>655</v>
      </c>
      <c r="D78" s="402"/>
      <c r="E78" s="402" t="s">
        <v>607</v>
      </c>
      <c r="F78" s="401"/>
    </row>
    <row r="79" spans="1:6" ht="15.75" x14ac:dyDescent="0.25">
      <c r="A79" s="398"/>
      <c r="B79" s="411">
        <v>5</v>
      </c>
      <c r="C79" s="412" t="s">
        <v>519</v>
      </c>
      <c r="D79" s="402" t="s">
        <v>520</v>
      </c>
      <c r="E79" s="402" t="s">
        <v>520</v>
      </c>
      <c r="F79" s="402" t="s">
        <v>520</v>
      </c>
    </row>
    <row r="80" spans="1:6" ht="15.75" x14ac:dyDescent="0.25">
      <c r="A80" s="398"/>
      <c r="B80" s="411">
        <v>6</v>
      </c>
      <c r="C80" s="412" t="s">
        <v>521</v>
      </c>
      <c r="D80" s="402"/>
      <c r="E80" s="402"/>
      <c r="F80" s="401" t="s">
        <v>607</v>
      </c>
    </row>
    <row r="81" spans="1:6" ht="15.75" x14ac:dyDescent="0.25">
      <c r="A81" s="398"/>
      <c r="B81" s="411">
        <v>7</v>
      </c>
      <c r="C81" s="412" t="s">
        <v>522</v>
      </c>
      <c r="D81" s="401" t="s">
        <v>459</v>
      </c>
      <c r="E81" s="402"/>
      <c r="F81" s="401"/>
    </row>
    <row r="82" spans="1:6" ht="15.75" x14ac:dyDescent="0.25">
      <c r="A82" s="398"/>
      <c r="B82" s="411">
        <v>8</v>
      </c>
      <c r="C82" s="412" t="s">
        <v>523</v>
      </c>
      <c r="D82" s="402" t="s">
        <v>459</v>
      </c>
      <c r="E82" s="402"/>
      <c r="F82" s="401"/>
    </row>
    <row r="83" spans="1:6" ht="15.75" x14ac:dyDescent="0.25">
      <c r="A83" s="398"/>
      <c r="B83" s="411">
        <v>9</v>
      </c>
      <c r="C83" s="412" t="s">
        <v>455</v>
      </c>
      <c r="D83" s="401"/>
      <c r="E83" s="403" t="s">
        <v>607</v>
      </c>
      <c r="F83" s="401"/>
    </row>
    <row r="84" spans="1:6" ht="18.75" x14ac:dyDescent="0.25">
      <c r="A84" s="398" t="s">
        <v>524</v>
      </c>
      <c r="B84" s="411">
        <v>1</v>
      </c>
      <c r="C84" s="412" t="s">
        <v>656</v>
      </c>
      <c r="D84" s="402"/>
      <c r="E84" s="403" t="s">
        <v>607</v>
      </c>
      <c r="F84" s="401"/>
    </row>
    <row r="85" spans="1:6" s="417" customFormat="1" ht="15.75" x14ac:dyDescent="0.25">
      <c r="A85" s="398"/>
      <c r="B85" s="411">
        <v>2</v>
      </c>
      <c r="C85" s="412" t="s">
        <v>352</v>
      </c>
      <c r="D85" s="401" t="s">
        <v>607</v>
      </c>
      <c r="E85" s="403"/>
      <c r="F85" s="401"/>
    </row>
    <row r="86" spans="1:6" s="417" customFormat="1" ht="31.5" x14ac:dyDescent="0.25">
      <c r="A86" s="398"/>
      <c r="B86" s="411">
        <v>3</v>
      </c>
      <c r="C86" s="412" t="s">
        <v>525</v>
      </c>
      <c r="D86" s="401" t="s">
        <v>607</v>
      </c>
      <c r="E86" s="403"/>
      <c r="F86" s="401"/>
    </row>
    <row r="87" spans="1:6" s="417" customFormat="1" ht="15.75" x14ac:dyDescent="0.25">
      <c r="A87" s="398"/>
      <c r="B87" s="411">
        <v>4</v>
      </c>
      <c r="C87" s="412" t="s">
        <v>353</v>
      </c>
      <c r="D87" s="401" t="s">
        <v>607</v>
      </c>
      <c r="E87" s="403"/>
      <c r="F87" s="401"/>
    </row>
    <row r="88" spans="1:6" s="417" customFormat="1" ht="15.75" x14ac:dyDescent="0.25">
      <c r="A88" s="398"/>
      <c r="B88" s="411">
        <v>5</v>
      </c>
      <c r="C88" s="412" t="s">
        <v>657</v>
      </c>
      <c r="D88" s="401" t="s">
        <v>642</v>
      </c>
      <c r="E88" s="403"/>
      <c r="F88" s="401"/>
    </row>
    <row r="89" spans="1:6" s="417" customFormat="1" ht="15.75" x14ac:dyDescent="0.25">
      <c r="A89" s="398"/>
      <c r="B89" s="411">
        <v>6</v>
      </c>
      <c r="C89" s="412" t="s">
        <v>658</v>
      </c>
      <c r="D89" s="401" t="s">
        <v>642</v>
      </c>
      <c r="E89" s="403" t="s">
        <v>642</v>
      </c>
      <c r="F89" s="401" t="s">
        <v>642</v>
      </c>
    </row>
    <row r="90" spans="1:6" s="417" customFormat="1" ht="15.75" x14ac:dyDescent="0.25">
      <c r="A90" s="398"/>
      <c r="B90" s="411">
        <v>7</v>
      </c>
      <c r="C90" s="412" t="s">
        <v>345</v>
      </c>
      <c r="D90" s="401" t="s">
        <v>607</v>
      </c>
      <c r="E90" s="403"/>
      <c r="F90" s="401"/>
    </row>
    <row r="91" spans="1:6" s="417" customFormat="1" ht="15.75" x14ac:dyDescent="0.25">
      <c r="A91" s="398"/>
      <c r="B91" s="411">
        <v>8</v>
      </c>
      <c r="C91" s="412" t="s">
        <v>659</v>
      </c>
      <c r="D91" s="402" t="s">
        <v>520</v>
      </c>
      <c r="E91" s="402" t="s">
        <v>520</v>
      </c>
      <c r="F91" s="402" t="s">
        <v>520</v>
      </c>
    </row>
    <row r="92" spans="1:6" s="417" customFormat="1" ht="15.75" x14ac:dyDescent="0.25">
      <c r="A92" s="398"/>
      <c r="B92" s="411">
        <v>9</v>
      </c>
      <c r="C92" s="412" t="s">
        <v>526</v>
      </c>
      <c r="D92" s="402"/>
      <c r="E92" s="402"/>
      <c r="F92" s="402"/>
    </row>
    <row r="93" spans="1:6" ht="15.75" x14ac:dyDescent="0.25">
      <c r="A93" s="398"/>
      <c r="B93" s="411">
        <v>10</v>
      </c>
      <c r="C93" s="412" t="s">
        <v>660</v>
      </c>
      <c r="D93" s="402" t="s">
        <v>642</v>
      </c>
      <c r="E93" s="403"/>
      <c r="F93" s="401"/>
    </row>
    <row r="94" spans="1:6" ht="31.5" x14ac:dyDescent="0.25">
      <c r="A94" s="398" t="s">
        <v>527</v>
      </c>
      <c r="B94" s="411">
        <v>1</v>
      </c>
      <c r="C94" s="412" t="s">
        <v>349</v>
      </c>
      <c r="D94" s="402" t="s">
        <v>460</v>
      </c>
      <c r="E94" s="403" t="s">
        <v>461</v>
      </c>
      <c r="F94" s="402" t="s">
        <v>462</v>
      </c>
    </row>
    <row r="95" spans="1:6" ht="31.5" x14ac:dyDescent="0.25">
      <c r="A95" s="398"/>
      <c r="B95" s="411">
        <v>2</v>
      </c>
      <c r="C95" s="412" t="s">
        <v>354</v>
      </c>
      <c r="D95" s="402" t="s">
        <v>492</v>
      </c>
      <c r="E95" s="403"/>
      <c r="F95" s="401"/>
    </row>
    <row r="96" spans="1:6" ht="15.75" x14ac:dyDescent="0.25">
      <c r="A96" s="398"/>
      <c r="B96" s="411">
        <v>3</v>
      </c>
      <c r="C96" s="412" t="s">
        <v>528</v>
      </c>
      <c r="D96" s="401" t="s">
        <v>607</v>
      </c>
      <c r="E96" s="402" t="s">
        <v>459</v>
      </c>
      <c r="F96" s="401"/>
    </row>
    <row r="97" spans="1:6" ht="18.75" x14ac:dyDescent="0.25">
      <c r="A97" s="398"/>
      <c r="B97" s="411">
        <v>4</v>
      </c>
      <c r="C97" s="412" t="s">
        <v>529</v>
      </c>
      <c r="D97" s="402" t="s">
        <v>607</v>
      </c>
      <c r="E97" s="403"/>
      <c r="F97" s="401"/>
    </row>
    <row r="98" spans="1:6" ht="15.75" x14ac:dyDescent="0.25">
      <c r="A98" s="398"/>
      <c r="B98" s="411">
        <v>5</v>
      </c>
      <c r="C98" s="412" t="s">
        <v>658</v>
      </c>
      <c r="D98" s="401" t="s">
        <v>607</v>
      </c>
      <c r="E98" s="402" t="s">
        <v>459</v>
      </c>
      <c r="F98" s="401"/>
    </row>
    <row r="99" spans="1:6" ht="15.75" x14ac:dyDescent="0.25">
      <c r="A99" s="398"/>
      <c r="B99" s="411">
        <v>6</v>
      </c>
      <c r="C99" s="412" t="s">
        <v>661</v>
      </c>
      <c r="D99" s="401"/>
      <c r="E99" s="402"/>
      <c r="F99" s="401"/>
    </row>
    <row r="100" spans="1:6" ht="15.75" x14ac:dyDescent="0.25">
      <c r="A100" s="398"/>
      <c r="B100" s="411">
        <v>7</v>
      </c>
      <c r="C100" s="412" t="s">
        <v>355</v>
      </c>
      <c r="D100" s="403" t="s">
        <v>459</v>
      </c>
      <c r="E100" s="403" t="s">
        <v>459</v>
      </c>
      <c r="F100" s="403" t="s">
        <v>459</v>
      </c>
    </row>
    <row r="101" spans="1:6" ht="15.75" x14ac:dyDescent="0.25">
      <c r="A101" s="398"/>
      <c r="B101" s="411">
        <v>8</v>
      </c>
      <c r="C101" s="412" t="s">
        <v>658</v>
      </c>
      <c r="D101" s="403" t="s">
        <v>607</v>
      </c>
      <c r="E101" s="403" t="s">
        <v>459</v>
      </c>
      <c r="F101" s="403" t="s">
        <v>459</v>
      </c>
    </row>
    <row r="102" spans="1:6" ht="15.75" x14ac:dyDescent="0.25">
      <c r="A102" s="398"/>
      <c r="B102" s="411">
        <v>9</v>
      </c>
      <c r="C102" s="408" t="s">
        <v>414</v>
      </c>
      <c r="D102" s="404">
        <v>1</v>
      </c>
      <c r="E102" s="404">
        <v>2</v>
      </c>
      <c r="F102" s="404">
        <v>1</v>
      </c>
    </row>
    <row r="103" spans="1:6" x14ac:dyDescent="0.25">
      <c r="C103" s="417"/>
    </row>
    <row r="104" spans="1:6" x14ac:dyDescent="0.25">
      <c r="C104" s="417"/>
    </row>
    <row r="105" spans="1:6" x14ac:dyDescent="0.25">
      <c r="C105" s="417"/>
    </row>
  </sheetData>
  <mergeCells count="13">
    <mergeCell ref="A94:A102"/>
    <mergeCell ref="A9:A32"/>
    <mergeCell ref="A33:A44"/>
    <mergeCell ref="A45:A56"/>
    <mergeCell ref="A57:A74"/>
    <mergeCell ref="A75:A83"/>
    <mergeCell ref="A84:A93"/>
    <mergeCell ref="A1:F1"/>
    <mergeCell ref="A2:F2"/>
    <mergeCell ref="A3:F3"/>
    <mergeCell ref="A4:F4"/>
    <mergeCell ref="A5:F5"/>
    <mergeCell ref="A6:F6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2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2023-2025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2022-12-14T21:31:30Z</dcterms:modified>
</cp:coreProperties>
</file>